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mc:AlternateContent xmlns:mc="http://schemas.openxmlformats.org/markup-compatibility/2006">
    <mc:Choice Requires="x15">
      <x15ac:absPath xmlns:x15ac="http://schemas.microsoft.com/office/spreadsheetml/2010/11/ac" url="C:\Users\Celine\Desktop\"/>
    </mc:Choice>
  </mc:AlternateContent>
  <xr:revisionPtr revIDLastSave="0" documentId="13_ncr:1_{540F0BE2-3662-4AEB-8AD1-71A9AF0C5CEB}" xr6:coauthVersionLast="45" xr6:coauthVersionMax="45" xr10:uidLastSave="{00000000-0000-0000-0000-000000000000}"/>
  <workbookProtection workbookAlgorithmName="SHA-512" workbookHashValue="dhHwxBlYT251W7bYAJhUy+6R92aNqHe/yad/+kXJ0J/DvFQVJ+RvoK5BuIoq33z46OCg4tXRhrvnwq/DUvOYlg==" workbookSaltValue="2gKlVpIY3hVpo1qCcl7OqA==" workbookSpinCount="100000" lockStructure="1"/>
  <bookViews>
    <workbookView xWindow="-110" yWindow="-110" windowWidth="38620" windowHeight="21220" activeTab="6" xr2:uid="{A3280E2B-5EA3-494D-8A42-8F9A6F646EE2}"/>
  </bookViews>
  <sheets>
    <sheet name="Deckblatt" sheetId="11" r:id="rId1"/>
    <sheet name="Bearbeitungshinweise" sheetId="7" r:id="rId2"/>
    <sheet name="Sachkostenrechner" sheetId="10" r:id="rId3"/>
    <sheet name="Warenkorb" sheetId="12" r:id="rId4"/>
    <sheet name="Preisdatenbank" sheetId="20" state="hidden" r:id="rId5"/>
    <sheet name="Preisblatt" sheetId="24" r:id="rId6"/>
    <sheet name="Preisentwicklung" sheetId="22" r:id="rId7"/>
    <sheet name="Übersetzungstabelle" sheetId="23" state="hidden" r:id="rId8"/>
    <sheet name="16.03 Ausbruch WHO" sheetId="1" state="hidden" r:id="rId9"/>
    <sheet name="vor Pandemie" sheetId="2" state="hidden" r:id="rId10"/>
  </sheets>
  <definedNames>
    <definedName name="_xlnm.Print_Area" localSheetId="1">Bearbeitungshinweise!$A$1:$C$21</definedName>
    <definedName name="_xlnm.Print_Area" localSheetId="0">Deckblatt!$A$1:$M$4</definedName>
    <definedName name="_xlnm.Print_Area" localSheetId="5">Preisblatt!$A:$M</definedName>
    <definedName name="_xlnm.Print_Area" localSheetId="4">Preisdatenbank!$A:$M</definedName>
    <definedName name="_xlnm.Print_Area" localSheetId="2">Sachkostenrechner!$A$1:$L$46</definedName>
    <definedName name="EP_Gruppe0">Warenkorb!$C$11</definedName>
    <definedName name="EP_Gruppe1">Warenkorb!$C$17</definedName>
    <definedName name="EP_Gruppe2">Warenkorb!$C$24</definedName>
    <definedName name="EP_Gruppe3">Warenkorb!$C$30</definedName>
    <definedName name="EP_Gruppe4">Warenkorb!$C$38</definedName>
    <definedName name="GP_Gruppe0">Warenkorb!$F$11</definedName>
    <definedName name="GP_Gruppe1">Warenkorb!$F$17</definedName>
    <definedName name="GP_Gruppe2">Warenkorb!$F$24</definedName>
    <definedName name="GP_Gruppe3">Warenkorb!$F$30</definedName>
    <definedName name="GP_Gruppe4">Warenkorb!$F$38</definedName>
    <definedName name="VwD">#REF!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1" i="23" l="1"/>
  <c r="D11" i="23"/>
  <c r="E11" i="23"/>
  <c r="F11" i="23"/>
  <c r="G11" i="23"/>
  <c r="H11" i="23"/>
  <c r="I11" i="23"/>
  <c r="B11" i="23"/>
  <c r="C10" i="23"/>
  <c r="D10" i="23"/>
  <c r="E10" i="23"/>
  <c r="F10" i="23"/>
  <c r="G10" i="23"/>
  <c r="H10" i="23"/>
  <c r="I10" i="23"/>
  <c r="B10" i="23"/>
  <c r="C9" i="23"/>
  <c r="D9" i="23"/>
  <c r="E9" i="23"/>
  <c r="F9" i="23"/>
  <c r="G9" i="23"/>
  <c r="H9" i="23"/>
  <c r="I9" i="23"/>
  <c r="B9" i="23"/>
  <c r="C8" i="23"/>
  <c r="D8" i="23"/>
  <c r="E8" i="23"/>
  <c r="F8" i="23"/>
  <c r="G8" i="23"/>
  <c r="H8" i="23"/>
  <c r="I8" i="23"/>
  <c r="B8" i="23"/>
  <c r="I7" i="23"/>
  <c r="H7" i="23"/>
  <c r="G7" i="23"/>
  <c r="F7" i="23"/>
  <c r="E7" i="23"/>
  <c r="D7" i="23"/>
  <c r="C7" i="23"/>
  <c r="B7" i="23"/>
  <c r="C6" i="23"/>
  <c r="D6" i="23"/>
  <c r="E6" i="23"/>
  <c r="F6" i="23"/>
  <c r="G6" i="23"/>
  <c r="H6" i="23"/>
  <c r="I6" i="23"/>
  <c r="B6" i="23"/>
  <c r="C5" i="23"/>
  <c r="D5" i="23"/>
  <c r="E5" i="23"/>
  <c r="F5" i="23"/>
  <c r="G5" i="23"/>
  <c r="H5" i="23"/>
  <c r="I5" i="23"/>
  <c r="B5" i="23"/>
  <c r="C4" i="23"/>
  <c r="D4" i="23"/>
  <c r="E4" i="23"/>
  <c r="F4" i="23"/>
  <c r="G4" i="23"/>
  <c r="H4" i="23"/>
  <c r="I4" i="23"/>
  <c r="B4" i="23"/>
  <c r="C3" i="23"/>
  <c r="D3" i="23"/>
  <c r="E3" i="23"/>
  <c r="F3" i="23"/>
  <c r="G3" i="23"/>
  <c r="H3" i="23"/>
  <c r="I3" i="23"/>
  <c r="B3" i="23"/>
  <c r="C2" i="23"/>
  <c r="D2" i="23"/>
  <c r="E2" i="23"/>
  <c r="F2" i="23"/>
  <c r="G2" i="23"/>
  <c r="H2" i="23"/>
  <c r="I2" i="23"/>
  <c r="B2" i="23"/>
  <c r="J9" i="10"/>
  <c r="H3" i="12" l="1"/>
  <c r="D7" i="12"/>
  <c r="B7" i="12"/>
  <c r="N45" i="24" l="1"/>
  <c r="O45" i="24"/>
  <c r="P45" i="24"/>
  <c r="N81" i="24"/>
  <c r="O81" i="24"/>
  <c r="P81" i="24"/>
  <c r="N82" i="24"/>
  <c r="O82" i="24"/>
  <c r="P82" i="24"/>
  <c r="N108" i="24"/>
  <c r="O108" i="24"/>
  <c r="P108" i="24"/>
  <c r="N120" i="24"/>
  <c r="O120" i="24"/>
  <c r="P120" i="24"/>
  <c r="N121" i="24"/>
  <c r="O121" i="24"/>
  <c r="P121" i="24"/>
  <c r="N122" i="24"/>
  <c r="O122" i="24"/>
  <c r="P122" i="24"/>
  <c r="E74" i="24"/>
  <c r="E48" i="24"/>
  <c r="E61" i="24"/>
  <c r="P136" i="24" l="1"/>
  <c r="O136" i="24"/>
  <c r="N136" i="24"/>
  <c r="P135" i="24"/>
  <c r="O135" i="24"/>
  <c r="N135" i="24"/>
  <c r="P134" i="24"/>
  <c r="O134" i="24"/>
  <c r="N134" i="24"/>
  <c r="P133" i="24"/>
  <c r="O133" i="24"/>
  <c r="N133" i="24"/>
  <c r="P132" i="24"/>
  <c r="O132" i="24"/>
  <c r="N132" i="24"/>
  <c r="P131" i="24"/>
  <c r="O131" i="24"/>
  <c r="N131" i="24"/>
  <c r="P130" i="24"/>
  <c r="O130" i="24"/>
  <c r="N130" i="24"/>
  <c r="P129" i="24"/>
  <c r="O129" i="24"/>
  <c r="N129" i="24"/>
  <c r="P128" i="24"/>
  <c r="O128" i="24"/>
  <c r="N128" i="24"/>
  <c r="P127" i="24"/>
  <c r="O127" i="24"/>
  <c r="N127" i="24"/>
  <c r="M126" i="24"/>
  <c r="L126" i="24"/>
  <c r="K126" i="24"/>
  <c r="J126" i="24"/>
  <c r="I126" i="24"/>
  <c r="H126" i="24"/>
  <c r="G126" i="24"/>
  <c r="F126" i="24"/>
  <c r="E126" i="24"/>
  <c r="A126" i="24"/>
  <c r="P123" i="24"/>
  <c r="O123" i="24"/>
  <c r="N123" i="24"/>
  <c r="P119" i="24"/>
  <c r="O119" i="24"/>
  <c r="N119" i="24"/>
  <c r="P118" i="24"/>
  <c r="O118" i="24"/>
  <c r="N118" i="24"/>
  <c r="P117" i="24"/>
  <c r="O117" i="24"/>
  <c r="N117" i="24"/>
  <c r="P116" i="24"/>
  <c r="O116" i="24"/>
  <c r="N116" i="24"/>
  <c r="P115" i="24"/>
  <c r="O115" i="24"/>
  <c r="N115" i="24"/>
  <c r="P114" i="24"/>
  <c r="O114" i="24"/>
  <c r="N114" i="24"/>
  <c r="M113" i="24"/>
  <c r="L113" i="24"/>
  <c r="K113" i="24"/>
  <c r="J113" i="24"/>
  <c r="I113" i="24"/>
  <c r="H113" i="24"/>
  <c r="G113" i="24"/>
  <c r="F113" i="24"/>
  <c r="E113" i="24"/>
  <c r="A113" i="24"/>
  <c r="P110" i="24"/>
  <c r="O110" i="24"/>
  <c r="N110" i="24"/>
  <c r="P109" i="24"/>
  <c r="O109" i="24"/>
  <c r="N109" i="24"/>
  <c r="P107" i="24"/>
  <c r="O107" i="24"/>
  <c r="N107" i="24"/>
  <c r="P106" i="24"/>
  <c r="O106" i="24"/>
  <c r="N106" i="24"/>
  <c r="P105" i="24"/>
  <c r="O105" i="24"/>
  <c r="N105" i="24"/>
  <c r="P104" i="24"/>
  <c r="O104" i="24"/>
  <c r="N104" i="24"/>
  <c r="P103" i="24"/>
  <c r="O103" i="24"/>
  <c r="N103" i="24"/>
  <c r="P102" i="24"/>
  <c r="O102" i="24"/>
  <c r="N102" i="24"/>
  <c r="P101" i="24"/>
  <c r="O101" i="24"/>
  <c r="N101" i="24"/>
  <c r="M100" i="24"/>
  <c r="L100" i="24"/>
  <c r="K100" i="24"/>
  <c r="J100" i="24"/>
  <c r="I100" i="24"/>
  <c r="H100" i="24"/>
  <c r="G100" i="24"/>
  <c r="F100" i="24"/>
  <c r="E100" i="24"/>
  <c r="A100" i="24"/>
  <c r="P97" i="24"/>
  <c r="O97" i="24"/>
  <c r="N97" i="24"/>
  <c r="P96" i="24"/>
  <c r="O96" i="24"/>
  <c r="N96" i="24"/>
  <c r="P95" i="24"/>
  <c r="O95" i="24"/>
  <c r="N95" i="24"/>
  <c r="P94" i="24"/>
  <c r="O94" i="24"/>
  <c r="N94" i="24"/>
  <c r="P93" i="24"/>
  <c r="O93" i="24"/>
  <c r="N93" i="24"/>
  <c r="P92" i="24"/>
  <c r="O92" i="24"/>
  <c r="N92" i="24"/>
  <c r="P91" i="24"/>
  <c r="O91" i="24"/>
  <c r="N91" i="24"/>
  <c r="P90" i="24"/>
  <c r="O90" i="24"/>
  <c r="N90" i="24"/>
  <c r="P89" i="24"/>
  <c r="O89" i="24"/>
  <c r="N89" i="24"/>
  <c r="P88" i="24"/>
  <c r="O88" i="24"/>
  <c r="N88" i="24"/>
  <c r="M87" i="24"/>
  <c r="L87" i="24"/>
  <c r="K87" i="24"/>
  <c r="J87" i="24"/>
  <c r="I87" i="24"/>
  <c r="H87" i="24"/>
  <c r="G87" i="24"/>
  <c r="F87" i="24"/>
  <c r="E87" i="24"/>
  <c r="A87" i="24"/>
  <c r="P84" i="24"/>
  <c r="O84" i="24"/>
  <c r="N84" i="24"/>
  <c r="P83" i="24"/>
  <c r="O83" i="24"/>
  <c r="N83" i="24"/>
  <c r="P80" i="24"/>
  <c r="O80" i="24"/>
  <c r="N80" i="24"/>
  <c r="P79" i="24"/>
  <c r="O79" i="24"/>
  <c r="N79" i="24"/>
  <c r="P78" i="24"/>
  <c r="O78" i="24"/>
  <c r="N78" i="24"/>
  <c r="P77" i="24"/>
  <c r="O77" i="24"/>
  <c r="N77" i="24"/>
  <c r="P76" i="24"/>
  <c r="O76" i="24"/>
  <c r="N76" i="24"/>
  <c r="P75" i="24"/>
  <c r="O75" i="24"/>
  <c r="N75" i="24"/>
  <c r="M74" i="24"/>
  <c r="L74" i="24"/>
  <c r="K74" i="24"/>
  <c r="J74" i="24"/>
  <c r="I74" i="24"/>
  <c r="H74" i="24"/>
  <c r="G74" i="24"/>
  <c r="F74" i="24"/>
  <c r="A74" i="24"/>
  <c r="P71" i="24"/>
  <c r="O71" i="24"/>
  <c r="N71" i="24"/>
  <c r="P70" i="24"/>
  <c r="O70" i="24"/>
  <c r="N70" i="24"/>
  <c r="P69" i="24"/>
  <c r="O69" i="24"/>
  <c r="N69" i="24"/>
  <c r="P68" i="24"/>
  <c r="O68" i="24"/>
  <c r="N68" i="24"/>
  <c r="P67" i="24"/>
  <c r="O67" i="24"/>
  <c r="N67" i="24"/>
  <c r="P66" i="24"/>
  <c r="O66" i="24"/>
  <c r="N66" i="24"/>
  <c r="P65" i="24"/>
  <c r="O65" i="24"/>
  <c r="N65" i="24"/>
  <c r="P64" i="24"/>
  <c r="O64" i="24"/>
  <c r="N64" i="24"/>
  <c r="P63" i="24"/>
  <c r="O63" i="24"/>
  <c r="N63" i="24"/>
  <c r="P62" i="24"/>
  <c r="O62" i="24"/>
  <c r="N62" i="24"/>
  <c r="M61" i="24"/>
  <c r="L61" i="24"/>
  <c r="K61" i="24"/>
  <c r="J61" i="24"/>
  <c r="I61" i="24"/>
  <c r="H61" i="24"/>
  <c r="G61" i="24"/>
  <c r="F61" i="24"/>
  <c r="A61" i="24"/>
  <c r="P58" i="24"/>
  <c r="O58" i="24"/>
  <c r="N58" i="24"/>
  <c r="P57" i="24"/>
  <c r="O57" i="24"/>
  <c r="N57" i="24"/>
  <c r="P56" i="24"/>
  <c r="O56" i="24"/>
  <c r="N56" i="24"/>
  <c r="P55" i="24"/>
  <c r="O55" i="24"/>
  <c r="N55" i="24"/>
  <c r="P54" i="24"/>
  <c r="O54" i="24"/>
  <c r="N54" i="24"/>
  <c r="P53" i="24"/>
  <c r="O53" i="24"/>
  <c r="N53" i="24"/>
  <c r="P52" i="24"/>
  <c r="O52" i="24"/>
  <c r="N52" i="24"/>
  <c r="P51" i="24"/>
  <c r="O51" i="24"/>
  <c r="N51" i="24"/>
  <c r="P50" i="24"/>
  <c r="O50" i="24"/>
  <c r="N50" i="24"/>
  <c r="P49" i="24"/>
  <c r="O49" i="24"/>
  <c r="N49" i="24"/>
  <c r="M48" i="24"/>
  <c r="L48" i="24"/>
  <c r="K48" i="24"/>
  <c r="J48" i="24"/>
  <c r="I48" i="24"/>
  <c r="H48" i="24"/>
  <c r="G48" i="24"/>
  <c r="F48" i="24"/>
  <c r="A48" i="24"/>
  <c r="P44" i="24"/>
  <c r="O44" i="24"/>
  <c r="N44" i="24"/>
  <c r="P43" i="24"/>
  <c r="O43" i="24"/>
  <c r="N43" i="24"/>
  <c r="P42" i="24"/>
  <c r="O42" i="24"/>
  <c r="N42" i="24"/>
  <c r="P41" i="24"/>
  <c r="O41" i="24"/>
  <c r="N41" i="24"/>
  <c r="P40" i="24"/>
  <c r="O40" i="24"/>
  <c r="N40" i="24"/>
  <c r="P39" i="24"/>
  <c r="O39" i="24"/>
  <c r="N39" i="24"/>
  <c r="P38" i="24"/>
  <c r="O38" i="24"/>
  <c r="N38" i="24"/>
  <c r="P37" i="24"/>
  <c r="O37" i="24"/>
  <c r="N37" i="24"/>
  <c r="P36" i="24"/>
  <c r="O36" i="24"/>
  <c r="N36" i="24"/>
  <c r="M35" i="24"/>
  <c r="L35" i="24"/>
  <c r="K35" i="24"/>
  <c r="J35" i="24"/>
  <c r="I35" i="24"/>
  <c r="H35" i="24"/>
  <c r="G35" i="24"/>
  <c r="F35" i="24"/>
  <c r="E35" i="24"/>
  <c r="A35" i="24"/>
  <c r="P32" i="24"/>
  <c r="O32" i="24"/>
  <c r="N32" i="24"/>
  <c r="P31" i="24"/>
  <c r="O31" i="24"/>
  <c r="N31" i="24"/>
  <c r="P30" i="24"/>
  <c r="O30" i="24"/>
  <c r="N30" i="24"/>
  <c r="P29" i="24"/>
  <c r="O29" i="24"/>
  <c r="N29" i="24"/>
  <c r="P28" i="24"/>
  <c r="O28" i="24"/>
  <c r="N28" i="24"/>
  <c r="P27" i="24"/>
  <c r="O27" i="24"/>
  <c r="N27" i="24"/>
  <c r="P26" i="24"/>
  <c r="O26" i="24"/>
  <c r="N26" i="24"/>
  <c r="P25" i="24"/>
  <c r="O25" i="24"/>
  <c r="N25" i="24"/>
  <c r="P24" i="24"/>
  <c r="O24" i="24"/>
  <c r="N24" i="24"/>
  <c r="P23" i="24"/>
  <c r="O23" i="24"/>
  <c r="N23" i="24"/>
  <c r="M22" i="24"/>
  <c r="L22" i="24"/>
  <c r="K22" i="24"/>
  <c r="J22" i="24"/>
  <c r="I22" i="24"/>
  <c r="H22" i="24"/>
  <c r="G22" i="24"/>
  <c r="F22" i="24"/>
  <c r="E22" i="24"/>
  <c r="A22" i="24"/>
  <c r="P19" i="24"/>
  <c r="O19" i="24"/>
  <c r="N19" i="24"/>
  <c r="P18" i="24"/>
  <c r="O18" i="24"/>
  <c r="N18" i="24"/>
  <c r="P17" i="24"/>
  <c r="O17" i="24"/>
  <c r="N17" i="24"/>
  <c r="P16" i="24"/>
  <c r="O16" i="24"/>
  <c r="N16" i="24"/>
  <c r="P15" i="24"/>
  <c r="O15" i="24"/>
  <c r="N15" i="24"/>
  <c r="P14" i="24"/>
  <c r="O14" i="24"/>
  <c r="N14" i="24"/>
  <c r="P13" i="24"/>
  <c r="O13" i="24"/>
  <c r="N13" i="24"/>
  <c r="P12" i="24"/>
  <c r="O12" i="24"/>
  <c r="N12" i="24"/>
  <c r="P11" i="24"/>
  <c r="O11" i="24"/>
  <c r="N11" i="24"/>
  <c r="P10" i="24"/>
  <c r="O10" i="24"/>
  <c r="N10" i="24"/>
  <c r="P9" i="24"/>
  <c r="O9" i="24"/>
  <c r="N9" i="24"/>
  <c r="P8" i="24"/>
  <c r="O8" i="24"/>
  <c r="N8" i="24"/>
  <c r="P7" i="24"/>
  <c r="O7" i="24"/>
  <c r="N7" i="24"/>
  <c r="M6" i="24"/>
  <c r="L6" i="24"/>
  <c r="K6" i="24"/>
  <c r="J6" i="24"/>
  <c r="I6" i="24"/>
  <c r="H6" i="24"/>
  <c r="G6" i="24"/>
  <c r="F6" i="24"/>
  <c r="E6" i="24"/>
  <c r="A6" i="24"/>
  <c r="P74" i="24" l="1"/>
  <c r="O74" i="24"/>
  <c r="O126" i="24"/>
  <c r="O61" i="24"/>
  <c r="N6" i="24"/>
  <c r="O6" i="24"/>
  <c r="P6" i="24"/>
  <c r="O35" i="24"/>
  <c r="O87" i="24"/>
  <c r="P113" i="24"/>
  <c r="N100" i="24"/>
  <c r="P87" i="24"/>
  <c r="P126" i="24"/>
  <c r="P35" i="24"/>
  <c r="P100" i="24"/>
  <c r="P22" i="24"/>
  <c r="N48" i="24"/>
  <c r="P48" i="24"/>
  <c r="P61" i="24"/>
  <c r="N74" i="24"/>
  <c r="O22" i="24"/>
  <c r="N113" i="24"/>
  <c r="O48" i="24"/>
  <c r="N61" i="24"/>
  <c r="O100" i="24"/>
  <c r="O113" i="24"/>
  <c r="N35" i="24"/>
  <c r="N87" i="24"/>
  <c r="N22" i="24"/>
  <c r="N126" i="24"/>
  <c r="C23" i="10" l="1"/>
  <c r="E7" i="10"/>
  <c r="N34" i="20" l="1"/>
  <c r="O34" i="20"/>
  <c r="P34" i="20"/>
  <c r="N134" i="20" l="1"/>
  <c r="O134" i="20"/>
  <c r="P134" i="20"/>
  <c r="N135" i="20"/>
  <c r="O135" i="20"/>
  <c r="P135" i="20"/>
  <c r="N95" i="20"/>
  <c r="O95" i="20"/>
  <c r="P95" i="20"/>
  <c r="N96" i="20"/>
  <c r="O96" i="20"/>
  <c r="P96" i="20"/>
  <c r="N68" i="20"/>
  <c r="O68" i="20"/>
  <c r="P68" i="20"/>
  <c r="N69" i="20"/>
  <c r="O69" i="20"/>
  <c r="P69" i="20"/>
  <c r="N50" i="20"/>
  <c r="O50" i="20"/>
  <c r="P50" i="20"/>
  <c r="N51" i="20"/>
  <c r="O51" i="20"/>
  <c r="P51" i="20"/>
  <c r="N52" i="20"/>
  <c r="O52" i="20"/>
  <c r="P52" i="20"/>
  <c r="N53" i="20"/>
  <c r="O53" i="20"/>
  <c r="P53" i="20"/>
  <c r="N17" i="20"/>
  <c r="O17" i="20"/>
  <c r="P17" i="20"/>
  <c r="N18" i="20"/>
  <c r="O18" i="20"/>
  <c r="P18" i="20"/>
  <c r="N19" i="20"/>
  <c r="O19" i="20"/>
  <c r="P19" i="20"/>
  <c r="N20" i="20"/>
  <c r="O20" i="20"/>
  <c r="P20" i="20"/>
  <c r="N21" i="20"/>
  <c r="O21" i="20"/>
  <c r="P21" i="20"/>
  <c r="N22" i="20"/>
  <c r="O22" i="20"/>
  <c r="P22" i="20"/>
  <c r="N23" i="20"/>
  <c r="O23" i="20"/>
  <c r="P23" i="20"/>
  <c r="N24" i="20"/>
  <c r="O24" i="20"/>
  <c r="P24" i="20"/>
  <c r="N25" i="20"/>
  <c r="O25" i="20"/>
  <c r="P25" i="20"/>
  <c r="N26" i="20"/>
  <c r="O26" i="20"/>
  <c r="P26" i="20"/>
  <c r="N27" i="20"/>
  <c r="O27" i="20"/>
  <c r="P27" i="20"/>
  <c r="N28" i="20"/>
  <c r="O28" i="20"/>
  <c r="P28" i="20"/>
  <c r="N29" i="20"/>
  <c r="O29" i="20"/>
  <c r="P29" i="20"/>
  <c r="N30" i="20"/>
  <c r="O30" i="20"/>
  <c r="P30" i="20"/>
  <c r="N31" i="20"/>
  <c r="O31" i="20"/>
  <c r="P31" i="20"/>
  <c r="N32" i="20"/>
  <c r="O32" i="20"/>
  <c r="P32" i="20"/>
  <c r="N33" i="20"/>
  <c r="O33" i="20"/>
  <c r="P33" i="20"/>
  <c r="O154" i="20" l="1"/>
  <c r="P154" i="20"/>
  <c r="O155" i="20"/>
  <c r="P155" i="20"/>
  <c r="O156" i="20"/>
  <c r="P156" i="20"/>
  <c r="O157" i="20"/>
  <c r="P157" i="20"/>
  <c r="O158" i="20"/>
  <c r="P158" i="20"/>
  <c r="O159" i="20"/>
  <c r="P159" i="20"/>
  <c r="O160" i="20"/>
  <c r="P160" i="20"/>
  <c r="O161" i="20"/>
  <c r="P161" i="20"/>
  <c r="O162" i="20"/>
  <c r="P162" i="20"/>
  <c r="O163" i="20"/>
  <c r="P163" i="20"/>
  <c r="O164" i="20"/>
  <c r="P164" i="20"/>
  <c r="O165" i="20"/>
  <c r="P165" i="20"/>
  <c r="P153" i="20"/>
  <c r="O153" i="20"/>
  <c r="O143" i="20"/>
  <c r="P143" i="20"/>
  <c r="O144" i="20"/>
  <c r="P144" i="20"/>
  <c r="O145" i="20"/>
  <c r="P145" i="20"/>
  <c r="O146" i="20"/>
  <c r="P146" i="20"/>
  <c r="O147" i="20"/>
  <c r="P147" i="20"/>
  <c r="O148" i="20"/>
  <c r="P148" i="20"/>
  <c r="O149" i="20"/>
  <c r="P149" i="20"/>
  <c r="P142" i="20"/>
  <c r="O142" i="20"/>
  <c r="O131" i="20"/>
  <c r="P131" i="20"/>
  <c r="O132" i="20"/>
  <c r="P132" i="20"/>
  <c r="O133" i="20"/>
  <c r="P133" i="20"/>
  <c r="O136" i="20"/>
  <c r="P136" i="20"/>
  <c r="O137" i="20"/>
  <c r="P137" i="20"/>
  <c r="O138" i="20"/>
  <c r="P138" i="20"/>
  <c r="P130" i="20"/>
  <c r="O130" i="20"/>
  <c r="O115" i="20"/>
  <c r="P115" i="20"/>
  <c r="O116" i="20"/>
  <c r="P116" i="20"/>
  <c r="O117" i="20"/>
  <c r="P117" i="20"/>
  <c r="O118" i="20"/>
  <c r="P118" i="20"/>
  <c r="O119" i="20"/>
  <c r="P119" i="20"/>
  <c r="O120" i="20"/>
  <c r="P120" i="20"/>
  <c r="O121" i="20"/>
  <c r="P121" i="20"/>
  <c r="O122" i="20"/>
  <c r="P122" i="20"/>
  <c r="O123" i="20"/>
  <c r="P123" i="20"/>
  <c r="O124" i="20"/>
  <c r="P124" i="20"/>
  <c r="O125" i="20"/>
  <c r="P125" i="20"/>
  <c r="O126" i="20"/>
  <c r="P126" i="20"/>
  <c r="P114" i="20"/>
  <c r="O114" i="20"/>
  <c r="O104" i="20"/>
  <c r="P104" i="20"/>
  <c r="O105" i="20"/>
  <c r="P105" i="20"/>
  <c r="O106" i="20"/>
  <c r="P106" i="20"/>
  <c r="O107" i="20"/>
  <c r="P107" i="20"/>
  <c r="O108" i="20"/>
  <c r="P108" i="20"/>
  <c r="O109" i="20"/>
  <c r="P109" i="20"/>
  <c r="O110" i="20"/>
  <c r="P110" i="20"/>
  <c r="P103" i="20"/>
  <c r="O103" i="20"/>
  <c r="O90" i="20"/>
  <c r="P90" i="20"/>
  <c r="O91" i="20"/>
  <c r="P91" i="20"/>
  <c r="O92" i="20"/>
  <c r="P92" i="20"/>
  <c r="O93" i="20"/>
  <c r="P93" i="20"/>
  <c r="O94" i="20"/>
  <c r="P94" i="20"/>
  <c r="O97" i="20"/>
  <c r="P97" i="20"/>
  <c r="O98" i="20"/>
  <c r="P98" i="20"/>
  <c r="O99" i="20"/>
  <c r="P99" i="20"/>
  <c r="P89" i="20"/>
  <c r="O89" i="20"/>
  <c r="O77" i="20"/>
  <c r="P77" i="20"/>
  <c r="O78" i="20"/>
  <c r="P78" i="20"/>
  <c r="O79" i="20"/>
  <c r="P79" i="20"/>
  <c r="O80" i="20"/>
  <c r="P80" i="20"/>
  <c r="O81" i="20"/>
  <c r="P81" i="20"/>
  <c r="O82" i="20"/>
  <c r="P82" i="20"/>
  <c r="O83" i="20"/>
  <c r="P83" i="20"/>
  <c r="O84" i="20"/>
  <c r="P84" i="20"/>
  <c r="O85" i="20"/>
  <c r="P85" i="20"/>
  <c r="P76" i="20"/>
  <c r="O76" i="20"/>
  <c r="O61" i="20"/>
  <c r="P61" i="20"/>
  <c r="O62" i="20"/>
  <c r="P62" i="20"/>
  <c r="O63" i="20"/>
  <c r="P63" i="20"/>
  <c r="O64" i="20"/>
  <c r="P64" i="20"/>
  <c r="O65" i="20"/>
  <c r="P65" i="20"/>
  <c r="O66" i="20"/>
  <c r="P66" i="20"/>
  <c r="O67" i="20"/>
  <c r="P67" i="20"/>
  <c r="O70" i="20"/>
  <c r="P70" i="20"/>
  <c r="O71" i="20"/>
  <c r="P71" i="20"/>
  <c r="O72" i="20"/>
  <c r="P72" i="20"/>
  <c r="P60" i="20"/>
  <c r="O60" i="20"/>
  <c r="O42" i="20"/>
  <c r="P42" i="20"/>
  <c r="O43" i="20"/>
  <c r="P43" i="20"/>
  <c r="O44" i="20"/>
  <c r="P44" i="20"/>
  <c r="O45" i="20"/>
  <c r="P45" i="20"/>
  <c r="O46" i="20"/>
  <c r="P46" i="20"/>
  <c r="O47" i="20"/>
  <c r="P47" i="20"/>
  <c r="O48" i="20"/>
  <c r="P48" i="20"/>
  <c r="O49" i="20"/>
  <c r="P49" i="20"/>
  <c r="O54" i="20"/>
  <c r="P54" i="20"/>
  <c r="O55" i="20"/>
  <c r="P55" i="20"/>
  <c r="O56" i="20"/>
  <c r="P56" i="20"/>
  <c r="P7" i="20"/>
  <c r="O7" i="20"/>
  <c r="P41" i="20"/>
  <c r="O41" i="20"/>
  <c r="O37" i="20"/>
  <c r="P37" i="20"/>
  <c r="O8" i="20"/>
  <c r="P8" i="20"/>
  <c r="O9" i="20"/>
  <c r="P9" i="20"/>
  <c r="O10" i="20"/>
  <c r="P10" i="20"/>
  <c r="O11" i="20"/>
  <c r="P11" i="20"/>
  <c r="O12" i="20"/>
  <c r="P12" i="20"/>
  <c r="O13" i="20"/>
  <c r="P13" i="20"/>
  <c r="O14" i="20"/>
  <c r="P14" i="20"/>
  <c r="O15" i="20"/>
  <c r="P15" i="20"/>
  <c r="O16" i="20"/>
  <c r="P16" i="20"/>
  <c r="O35" i="20"/>
  <c r="P35" i="20"/>
  <c r="O36" i="20"/>
  <c r="P36" i="20"/>
  <c r="H40" i="20"/>
  <c r="N7" i="20" l="1"/>
  <c r="N8" i="22"/>
  <c r="N7" i="22"/>
  <c r="N6" i="22"/>
  <c r="N9" i="22"/>
  <c r="O5" i="22"/>
  <c r="A152" i="20" l="1"/>
  <c r="A141" i="20"/>
  <c r="A129" i="20"/>
  <c r="A113" i="20"/>
  <c r="A102" i="20"/>
  <c r="A88" i="20"/>
  <c r="A75" i="20"/>
  <c r="A59" i="20"/>
  <c r="A40" i="20"/>
  <c r="A6" i="20"/>
  <c r="N156" i="20"/>
  <c r="N157" i="20"/>
  <c r="N158" i="20"/>
  <c r="N159" i="20"/>
  <c r="N160" i="20"/>
  <c r="N161" i="20"/>
  <c r="N162" i="20"/>
  <c r="N163" i="20"/>
  <c r="N164" i="20"/>
  <c r="N165" i="20"/>
  <c r="N155" i="20"/>
  <c r="N154" i="20"/>
  <c r="N153" i="20"/>
  <c r="F152" i="20"/>
  <c r="G152" i="20"/>
  <c r="H152" i="20"/>
  <c r="I152" i="20"/>
  <c r="J152" i="20"/>
  <c r="K152" i="20"/>
  <c r="L152" i="20"/>
  <c r="M152" i="20"/>
  <c r="E152" i="20"/>
  <c r="N145" i="20"/>
  <c r="N146" i="20"/>
  <c r="N147" i="20"/>
  <c r="N148" i="20"/>
  <c r="N149" i="20"/>
  <c r="N144" i="20"/>
  <c r="N143" i="20"/>
  <c r="N142" i="20"/>
  <c r="F141" i="20"/>
  <c r="G141" i="20"/>
  <c r="H141" i="20"/>
  <c r="I141" i="20"/>
  <c r="J141" i="20"/>
  <c r="K141" i="20"/>
  <c r="L141" i="20"/>
  <c r="M141" i="20"/>
  <c r="E141" i="20"/>
  <c r="N133" i="20"/>
  <c r="N136" i="20"/>
  <c r="N137" i="20"/>
  <c r="N138" i="20"/>
  <c r="N132" i="20"/>
  <c r="N131" i="20"/>
  <c r="N130" i="20"/>
  <c r="F129" i="20"/>
  <c r="G129" i="20"/>
  <c r="H129" i="20"/>
  <c r="I129" i="20"/>
  <c r="J129" i="20"/>
  <c r="K129" i="20"/>
  <c r="L129" i="20"/>
  <c r="M129" i="20"/>
  <c r="E129" i="20"/>
  <c r="N117" i="20"/>
  <c r="N118" i="20"/>
  <c r="N119" i="20"/>
  <c r="N120" i="20"/>
  <c r="N121" i="20"/>
  <c r="N122" i="20"/>
  <c r="N123" i="20"/>
  <c r="N124" i="20"/>
  <c r="N125" i="20"/>
  <c r="N126" i="20"/>
  <c r="N116" i="20"/>
  <c r="N115" i="20"/>
  <c r="N114" i="20"/>
  <c r="F113" i="20"/>
  <c r="G113" i="20"/>
  <c r="H113" i="20"/>
  <c r="I113" i="20"/>
  <c r="J113" i="20"/>
  <c r="K113" i="20"/>
  <c r="L113" i="20"/>
  <c r="M113" i="20"/>
  <c r="E113" i="20"/>
  <c r="N106" i="20"/>
  <c r="N107" i="20"/>
  <c r="N108" i="20"/>
  <c r="N109" i="20"/>
  <c r="N110" i="20"/>
  <c r="N105" i="20"/>
  <c r="N104" i="20"/>
  <c r="N103" i="20"/>
  <c r="M102" i="20"/>
  <c r="E102" i="20"/>
  <c r="L102" i="20"/>
  <c r="K102" i="20"/>
  <c r="J102" i="20"/>
  <c r="I102" i="20"/>
  <c r="H102" i="20"/>
  <c r="G102" i="20"/>
  <c r="F102" i="20"/>
  <c r="N94" i="20"/>
  <c r="N97" i="20"/>
  <c r="N98" i="20"/>
  <c r="N99" i="20"/>
  <c r="N93" i="20"/>
  <c r="N92" i="20"/>
  <c r="N91" i="20"/>
  <c r="N90" i="20"/>
  <c r="N89" i="20"/>
  <c r="M88" i="20"/>
  <c r="E88" i="20"/>
  <c r="L88" i="20"/>
  <c r="K88" i="20"/>
  <c r="J88" i="20"/>
  <c r="I88" i="20"/>
  <c r="H88" i="20"/>
  <c r="G88" i="20"/>
  <c r="F88" i="20"/>
  <c r="N79" i="20"/>
  <c r="N80" i="20"/>
  <c r="N81" i="20"/>
  <c r="N82" i="20"/>
  <c r="N83" i="20"/>
  <c r="N84" i="20"/>
  <c r="N85" i="20"/>
  <c r="N78" i="20"/>
  <c r="N77" i="20"/>
  <c r="N76" i="20"/>
  <c r="M75" i="20"/>
  <c r="L75" i="20"/>
  <c r="K75" i="20"/>
  <c r="J75" i="20"/>
  <c r="I75" i="20"/>
  <c r="H75" i="20"/>
  <c r="G75" i="20"/>
  <c r="F75" i="20"/>
  <c r="E75" i="20"/>
  <c r="E59" i="20"/>
  <c r="N63" i="20"/>
  <c r="N64" i="20"/>
  <c r="N65" i="20"/>
  <c r="N66" i="20"/>
  <c r="N67" i="20"/>
  <c r="N70" i="20"/>
  <c r="N71" i="20"/>
  <c r="N72" i="20"/>
  <c r="N62" i="20"/>
  <c r="N61" i="20"/>
  <c r="N60" i="20"/>
  <c r="M59" i="20"/>
  <c r="L59" i="20"/>
  <c r="K59" i="20"/>
  <c r="J59" i="20"/>
  <c r="I59" i="20"/>
  <c r="H59" i="20"/>
  <c r="G59" i="20"/>
  <c r="F59" i="20"/>
  <c r="N56" i="20"/>
  <c r="N55" i="20"/>
  <c r="N54" i="20"/>
  <c r="N49" i="20"/>
  <c r="N48" i="20"/>
  <c r="N47" i="20"/>
  <c r="N46" i="20"/>
  <c r="N45" i="20"/>
  <c r="N44" i="20"/>
  <c r="N43" i="20"/>
  <c r="N42" i="20"/>
  <c r="N41" i="20"/>
  <c r="F40" i="20"/>
  <c r="G40" i="20"/>
  <c r="I40" i="20"/>
  <c r="J40" i="20"/>
  <c r="K40" i="20"/>
  <c r="L40" i="20"/>
  <c r="M40" i="20"/>
  <c r="E40" i="20"/>
  <c r="F6" i="20"/>
  <c r="G6" i="20"/>
  <c r="H6" i="20"/>
  <c r="I6" i="20"/>
  <c r="J6" i="20"/>
  <c r="K6" i="20"/>
  <c r="L6" i="20"/>
  <c r="M6" i="20"/>
  <c r="E6" i="20"/>
  <c r="N8" i="20"/>
  <c r="N9" i="20"/>
  <c r="N10" i="20"/>
  <c r="N11" i="20"/>
  <c r="N12" i="20"/>
  <c r="N13" i="20"/>
  <c r="N14" i="20"/>
  <c r="N15" i="20"/>
  <c r="N16" i="20"/>
  <c r="N35" i="20"/>
  <c r="N36" i="20"/>
  <c r="N37" i="20"/>
  <c r="N15" i="22"/>
  <c r="N23" i="22"/>
  <c r="T17" i="22"/>
  <c r="T30" i="22"/>
  <c r="N25" i="22"/>
  <c r="N38" i="22"/>
  <c r="U13" i="22"/>
  <c r="T9" i="22"/>
  <c r="U21" i="22"/>
  <c r="T22" i="22"/>
  <c r="U29" i="22"/>
  <c r="N41" i="22"/>
  <c r="N40" i="22"/>
  <c r="T25" i="22"/>
  <c r="T40" i="22"/>
  <c r="T23" i="22"/>
  <c r="T14" i="22"/>
  <c r="T41" i="22"/>
  <c r="C21" i="12"/>
  <c r="C16" i="12"/>
  <c r="U37" i="22"/>
  <c r="C27" i="12"/>
  <c r="N16" i="22"/>
  <c r="T15" i="22"/>
  <c r="C20" i="12"/>
  <c r="N31" i="22"/>
  <c r="T16" i="22"/>
  <c r="T33" i="22"/>
  <c r="C23" i="12"/>
  <c r="T6" i="22"/>
  <c r="N32" i="22"/>
  <c r="N30" i="22"/>
  <c r="T8" i="22"/>
  <c r="C10" i="12"/>
  <c r="C14" i="12"/>
  <c r="O29" i="22"/>
  <c r="C22" i="12"/>
  <c r="C29" i="12"/>
  <c r="T32" i="22"/>
  <c r="C37" i="12"/>
  <c r="N33" i="22"/>
  <c r="O13" i="22"/>
  <c r="T24" i="22"/>
  <c r="C36" i="12"/>
  <c r="N17" i="22"/>
  <c r="C34" i="12"/>
  <c r="O21" i="22"/>
  <c r="T7" i="22"/>
  <c r="O37" i="22"/>
  <c r="T31" i="22"/>
  <c r="N22" i="22"/>
  <c r="C33" i="12"/>
  <c r="T39" i="22"/>
  <c r="U5" i="22"/>
  <c r="N24" i="22"/>
  <c r="N14" i="22"/>
  <c r="N39" i="22"/>
  <c r="C28" i="12"/>
  <c r="T38" i="22"/>
  <c r="C35" i="12"/>
  <c r="C15" i="12"/>
  <c r="P102" i="20" l="1"/>
  <c r="O102" i="20"/>
  <c r="U9" i="22"/>
  <c r="U6" i="22"/>
  <c r="U7" i="22"/>
  <c r="U8" i="22"/>
  <c r="O38" i="22"/>
  <c r="O40" i="22"/>
  <c r="O41" i="22"/>
  <c r="O39" i="22"/>
  <c r="O33" i="22"/>
  <c r="O30" i="22"/>
  <c r="O31" i="22"/>
  <c r="O32" i="22"/>
  <c r="O88" i="20"/>
  <c r="O75" i="20"/>
  <c r="O24" i="22"/>
  <c r="O22" i="22"/>
  <c r="O25" i="22"/>
  <c r="O23" i="22"/>
  <c r="O14" i="22"/>
  <c r="O16" i="22"/>
  <c r="O15" i="22"/>
  <c r="O17" i="22"/>
  <c r="U22" i="22"/>
  <c r="U25" i="22"/>
  <c r="U24" i="22"/>
  <c r="U23" i="22"/>
  <c r="U40" i="22"/>
  <c r="U41" i="22"/>
  <c r="U38" i="22"/>
  <c r="U39" i="22"/>
  <c r="U32" i="22"/>
  <c r="U33" i="22"/>
  <c r="U31" i="22"/>
  <c r="U30" i="22"/>
  <c r="U15" i="22"/>
  <c r="U16" i="22"/>
  <c r="U17" i="22"/>
  <c r="U14" i="22"/>
  <c r="O129" i="20"/>
  <c r="O152" i="20"/>
  <c r="O113" i="20"/>
  <c r="O6" i="20"/>
  <c r="P152" i="20"/>
  <c r="P141" i="20"/>
  <c r="O141" i="20"/>
  <c r="P129" i="20"/>
  <c r="P113" i="20"/>
  <c r="P88" i="20"/>
  <c r="P75" i="20"/>
  <c r="P59" i="20"/>
  <c r="O59" i="20"/>
  <c r="O40" i="20"/>
  <c r="P40" i="20"/>
  <c r="P6" i="20"/>
  <c r="F27" i="12"/>
  <c r="F22" i="12"/>
  <c r="F36" i="12"/>
  <c r="F14" i="12"/>
  <c r="F29" i="12"/>
  <c r="N6" i="20"/>
  <c r="B27" i="22" s="1"/>
  <c r="N40" i="20"/>
  <c r="C27" i="22" s="1"/>
  <c r="O7" i="22"/>
  <c r="O9" i="22"/>
  <c r="O6" i="22"/>
  <c r="O8" i="22"/>
  <c r="N152" i="20"/>
  <c r="K27" i="22" s="1"/>
  <c r="N141" i="20"/>
  <c r="J27" i="22" s="1"/>
  <c r="N113" i="20"/>
  <c r="H27" i="22" s="1"/>
  <c r="N75" i="20"/>
  <c r="E27" i="22" s="1"/>
  <c r="N59" i="20"/>
  <c r="D27" i="22" s="1"/>
  <c r="F11" i="22" l="1" a="1"/>
  <c r="F11" i="22" s="1"/>
  <c r="E11" i="22" a="1"/>
  <c r="E11" i="22" s="1"/>
  <c r="G11" i="22" a="1"/>
  <c r="G11" i="22" s="1"/>
  <c r="D11" i="22" a="1"/>
  <c r="D11" i="22" s="1"/>
  <c r="J11" i="22" a="1"/>
  <c r="J11" i="22" s="1"/>
  <c r="I11" i="22" a="1"/>
  <c r="I11" i="22" s="1"/>
  <c r="H11" i="22" a="1"/>
  <c r="H11" i="22" s="1"/>
  <c r="K11" i="22" a="1"/>
  <c r="K11" i="22" s="1"/>
  <c r="C11" i="22" a="1"/>
  <c r="C11" i="22" s="1"/>
  <c r="F15" i="12"/>
  <c r="F21" i="12"/>
  <c r="F28" i="12"/>
  <c r="F20" i="12"/>
  <c r="F34" i="12"/>
  <c r="F16" i="12"/>
  <c r="F33" i="12"/>
  <c r="F23" i="12"/>
  <c r="F35" i="12"/>
  <c r="B11" i="22" a="1"/>
  <c r="B11" i="22" s="1"/>
  <c r="N88" i="20" l="1"/>
  <c r="N102" i="20"/>
  <c r="G27" i="22" s="1"/>
  <c r="N129" i="20"/>
  <c r="I27" i="22" s="1"/>
  <c r="F27" i="22" l="1"/>
  <c r="I36" i="10" l="1"/>
  <c r="B36" i="10"/>
  <c r="K36" i="10"/>
  <c r="J36" i="10"/>
  <c r="E36" i="10"/>
  <c r="D36" i="10"/>
  <c r="C36" i="10"/>
  <c r="J23" i="10"/>
  <c r="I23" i="10"/>
  <c r="I27" i="10"/>
  <c r="I28" i="10"/>
  <c r="I30" i="10"/>
  <c r="I31" i="10"/>
  <c r="I32" i="10"/>
  <c r="I35" i="10"/>
  <c r="B35" i="10"/>
  <c r="B32" i="10"/>
  <c r="B31" i="10"/>
  <c r="B30" i="10"/>
  <c r="B28" i="10"/>
  <c r="B27" i="10"/>
  <c r="B23" i="10" l="1"/>
  <c r="D42" i="10" l="1"/>
  <c r="D41" i="10"/>
  <c r="K29" i="10"/>
  <c r="D29" i="10"/>
  <c r="C29" i="10"/>
  <c r="E37" i="12" l="1"/>
  <c r="F37" i="12" s="1"/>
  <c r="B37" i="10"/>
  <c r="C11" i="12" l="1"/>
  <c r="C16" i="10" s="1"/>
  <c r="I39" i="10"/>
  <c r="B39" i="10"/>
  <c r="E10" i="12"/>
  <c r="F10" i="12" s="1"/>
  <c r="F11" i="12" s="1"/>
  <c r="E24" i="10"/>
  <c r="D24" i="10"/>
  <c r="K24" i="10"/>
  <c r="C24" i="10" l="1"/>
  <c r="D35" i="10"/>
  <c r="E35" i="10"/>
  <c r="C17" i="10"/>
  <c r="K35" i="10"/>
  <c r="J24" i="10"/>
  <c r="J35" i="10" s="1"/>
  <c r="F17" i="12"/>
  <c r="C24" i="12"/>
  <c r="C30" i="12"/>
  <c r="J16" i="10" s="1"/>
  <c r="F30" i="12"/>
  <c r="C17" i="12"/>
  <c r="C38" i="12"/>
  <c r="K16" i="10" s="1"/>
  <c r="E37" i="10" l="1"/>
  <c r="D37" i="10"/>
  <c r="C35" i="10"/>
  <c r="F48" i="10" s="1"/>
  <c r="J17" i="10"/>
  <c r="F24" i="12"/>
  <c r="F38" i="12"/>
  <c r="K17" i="10" s="1"/>
  <c r="J37" i="10"/>
  <c r="L20" i="10"/>
  <c r="F51" i="10" l="1"/>
  <c r="D51" i="10"/>
  <c r="C37" i="10"/>
  <c r="J21" i="10"/>
  <c r="I20" i="10"/>
  <c r="B20" i="10"/>
  <c r="J27" i="10" l="1"/>
  <c r="J28" i="10" s="1"/>
  <c r="J29" i="10" s="1"/>
  <c r="F37" i="10"/>
  <c r="I37" i="10"/>
  <c r="F20" i="10"/>
  <c r="F3" i="1" l="1"/>
  <c r="H3" i="1"/>
  <c r="J30" i="10" l="1"/>
  <c r="J31" i="10"/>
  <c r="E16" i="10"/>
  <c r="D17" i="10"/>
  <c r="D16" i="10"/>
  <c r="K21" i="10"/>
  <c r="D21" i="10" l="1"/>
  <c r="K27" i="10"/>
  <c r="L27" i="10" s="1"/>
  <c r="E17" i="10"/>
  <c r="D3" i="1"/>
  <c r="C4" i="2"/>
  <c r="C5" i="2" s="1"/>
  <c r="C8" i="2" s="1"/>
  <c r="E12" i="2"/>
  <c r="D12" i="2"/>
  <c r="C12" i="2"/>
  <c r="E5" i="2"/>
  <c r="E8" i="2" s="1"/>
  <c r="D5" i="2"/>
  <c r="D8" i="2" s="1"/>
  <c r="C4" i="1"/>
  <c r="C5" i="1" s="1"/>
  <c r="C7" i="1" s="1"/>
  <c r="G13" i="1"/>
  <c r="E13" i="1"/>
  <c r="C13" i="1"/>
  <c r="E5" i="1"/>
  <c r="E7" i="1" s="1"/>
  <c r="G5" i="1"/>
  <c r="G7" i="1" s="1"/>
  <c r="D13" i="1" l="1"/>
  <c r="D27" i="10"/>
  <c r="D28" i="10" s="1"/>
  <c r="F13" i="1"/>
  <c r="D15" i="2"/>
  <c r="D16" i="2" s="1"/>
  <c r="E21" i="10"/>
  <c r="K28" i="10"/>
  <c r="C21" i="10"/>
  <c r="H13" i="1"/>
  <c r="E15" i="2"/>
  <c r="E16" i="2" s="1"/>
  <c r="C15" i="2"/>
  <c r="C16" i="2" s="1"/>
  <c r="C16" i="1"/>
  <c r="E16" i="1"/>
  <c r="G16" i="1"/>
  <c r="E27" i="10" l="1"/>
  <c r="E28" i="10" s="1"/>
  <c r="E29" i="10" s="1"/>
  <c r="K30" i="10"/>
  <c r="C27" i="10"/>
  <c r="C28" i="10" s="1"/>
  <c r="D30" i="10"/>
  <c r="D31" i="10"/>
  <c r="K31" i="10"/>
  <c r="F15" i="2"/>
  <c r="C17" i="2" s="1"/>
  <c r="H16" i="1"/>
  <c r="C17" i="1" s="1"/>
  <c r="L31" i="10" l="1"/>
  <c r="J32" i="10" s="1"/>
  <c r="C30" i="10"/>
  <c r="C31" i="10"/>
  <c r="F27" i="10"/>
  <c r="E31" i="10" l="1"/>
  <c r="E30" i="10"/>
  <c r="K37" i="10"/>
  <c r="F31" i="10" l="1"/>
  <c r="F39" i="10" s="1"/>
  <c r="G39" i="10" s="1"/>
  <c r="D50" i="10" s="1"/>
  <c r="L37" i="10"/>
  <c r="L39" i="10" s="1"/>
  <c r="M39" i="10" s="1"/>
  <c r="F50" i="10" s="1"/>
  <c r="E53" i="10" l="1"/>
  <c r="I43" i="10" s="1"/>
  <c r="I42" i="10"/>
  <c r="C32" i="10"/>
  <c r="I41" i="10"/>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<sst xmlns="http://schemas.openxmlformats.org/spreadsheetml/2006/main" count="1206" uniqueCount="300">
  <si>
    <t>Gruppe 0</t>
  </si>
  <si>
    <t>Gruppe 1</t>
  </si>
  <si>
    <t>Gruppe 2</t>
  </si>
  <si>
    <t>Warenkorb in €</t>
  </si>
  <si>
    <t>VWD 7 Tage</t>
  </si>
  <si>
    <t>Verteilung der Patienten</t>
  </si>
  <si>
    <t>Anzahl der Patienten</t>
  </si>
  <si>
    <t>1000 Betten bei 80% Auslastung</t>
  </si>
  <si>
    <t>Kosten bei 7 VWD und 80% Auslastung</t>
  </si>
  <si>
    <t>Summe</t>
  </si>
  <si>
    <t>Kosten pro Fall bei 80% Auslastung</t>
  </si>
  <si>
    <t>Warenkorb Gruppe 0</t>
  </si>
  <si>
    <t>Warenkorb Gruppe 1</t>
  </si>
  <si>
    <t>Warenkorb Gruppe 2</t>
  </si>
  <si>
    <t>1 x Schutzmaske OP + 1 x Schutzkittel + 1 x Handschuhe</t>
  </si>
  <si>
    <t>1 x Schutzmaske OP</t>
  </si>
  <si>
    <t>1 x Schutzmaske FFP2 + 1 x Schutzbrille + 1 x Schutzkittel + 1 x Hanschuhe + 1 x Überziehschuhe</t>
  </si>
  <si>
    <t>Bemerkungen</t>
  </si>
  <si>
    <t>Warenkörbe</t>
  </si>
  <si>
    <t>Eingriffe nicht berücksichtigt (FFP3); Preise müssen von Risse ermittelt werden; Orientiert an RKI-Richtlinien</t>
  </si>
  <si>
    <t>Anzahl Kontakte</t>
  </si>
  <si>
    <t>1 MA in 8 Stundenschicht benötigt 4 Masken, 1 MA à 10 Patienten, entspricht 1,2 Masken pro Patient in 24h</t>
  </si>
  <si>
    <t>Preis pro 24h pro Patient</t>
  </si>
  <si>
    <t>Anzahl Kontakte/Warenkorb pro 24h pro Patient</t>
  </si>
  <si>
    <t>20 Kontakte pro 24h</t>
  </si>
  <si>
    <t>Intensiv? Eingriffe?</t>
  </si>
  <si>
    <t>70/10/20</t>
  </si>
  <si>
    <t>fiktiv für Rechenbeispiel</t>
  </si>
  <si>
    <t>Literaturrecherche für Anteil Gruppe 1, Anzahl Covid-Patienten lt. Tagesmeldung für Gruppe 3, Gruppe 0 Rest</t>
  </si>
  <si>
    <t>PRÄMISSEN</t>
  </si>
  <si>
    <t>BERECHNUNG</t>
  </si>
  <si>
    <t>1 MA in 8 Stundenschicht benötigt 1 Maske, 1 MA à 10 Patienten, entspricht 0,3 Masken pro Patient in 24h</t>
  </si>
  <si>
    <t>SPIX 0</t>
  </si>
  <si>
    <t>SPIX 1</t>
  </si>
  <si>
    <t>SPIX 2</t>
  </si>
  <si>
    <t>SVIX 2</t>
  </si>
  <si>
    <t>SVIX 1</t>
  </si>
  <si>
    <t>SVIX 0</t>
  </si>
  <si>
    <t>bei einer Auslastung von xx%</t>
  </si>
  <si>
    <r>
      <t xml:space="preserve">bei einer    VWD von </t>
    </r>
    <r>
      <rPr>
        <sz val="11"/>
        <color rgb="FFFF0000"/>
        <rFont val="Calibri"/>
        <family val="2"/>
        <scheme val="minor"/>
      </rPr>
      <t>xx</t>
    </r>
    <r>
      <rPr>
        <sz val="11"/>
        <color theme="1"/>
        <rFont val="Calibri"/>
        <family val="2"/>
        <scheme val="minor"/>
      </rPr>
      <t xml:space="preserve"> Tagen</t>
    </r>
  </si>
  <si>
    <t>Kosten pro Patient</t>
  </si>
  <si>
    <r>
      <t xml:space="preserve">Kosten bei 80% Auslastung und einer    VWD von </t>
    </r>
    <r>
      <rPr>
        <sz val="11"/>
        <color rgb="FFFF0000"/>
        <rFont val="Calibri"/>
        <family val="2"/>
        <scheme val="minor"/>
      </rPr>
      <t>xx</t>
    </r>
    <r>
      <rPr>
        <sz val="11"/>
        <color theme="1"/>
        <rFont val="Calibri"/>
        <family val="2"/>
        <scheme val="minor"/>
      </rPr>
      <t xml:space="preserve"> Tagen</t>
    </r>
  </si>
  <si>
    <t>Kosten pro     Patient bei 80% Auslastung</t>
  </si>
  <si>
    <t>Kosten pro Patient nach Gruppe bei 80% Auslastung</t>
  </si>
  <si>
    <t>Eingabefeld</t>
  </si>
  <si>
    <t>Gruppe 3</t>
  </si>
  <si>
    <t>Anbieter</t>
  </si>
  <si>
    <t>Artikelnummer</t>
  </si>
  <si>
    <t>BME</t>
  </si>
  <si>
    <t>MNS einfach</t>
  </si>
  <si>
    <t>Medline</t>
  </si>
  <si>
    <t>Stück</t>
  </si>
  <si>
    <t>3M</t>
  </si>
  <si>
    <t>1810F</t>
  </si>
  <si>
    <t>FFP2 ohne Ventil</t>
  </si>
  <si>
    <t>1862+</t>
  </si>
  <si>
    <t>FarStar</t>
  </si>
  <si>
    <t>FFP2 mit Ventil</t>
  </si>
  <si>
    <t>1872V+</t>
  </si>
  <si>
    <t>FFP3 ohne Ventil</t>
  </si>
  <si>
    <t>1863+</t>
  </si>
  <si>
    <t>FFP3 mit Ventil</t>
  </si>
  <si>
    <t>1873V+</t>
  </si>
  <si>
    <t>US-Handschuhe unsteril Latex</t>
  </si>
  <si>
    <t>Hartmann</t>
  </si>
  <si>
    <t>B.Braun</t>
  </si>
  <si>
    <t>US-Handschuhe unsteril latexfrei</t>
  </si>
  <si>
    <t>Kittel unverstärkt</t>
  </si>
  <si>
    <t>Kittel verstärkt</t>
  </si>
  <si>
    <t>Sichtschutz/-brille</t>
  </si>
  <si>
    <t>SV50A</t>
  </si>
  <si>
    <t>Gesamt</t>
  </si>
  <si>
    <t>Intensivstation</t>
  </si>
  <si>
    <t>Normalstation</t>
  </si>
  <si>
    <t>gewichtete VwD</t>
  </si>
  <si>
    <t xml:space="preserve">Ergänzung Anzahl </t>
  </si>
  <si>
    <t>Anzahl</t>
  </si>
  <si>
    <t>EP</t>
  </si>
  <si>
    <t>GP</t>
  </si>
  <si>
    <t>Gruppe 1: MRE-Patienten</t>
  </si>
  <si>
    <t>Gruppe 2: COVID19 Normalstation</t>
  </si>
  <si>
    <t>Gruppe 4: COVID19 auf ITS</t>
  </si>
  <si>
    <t>Gruppe 4</t>
  </si>
  <si>
    <t>Stk.</t>
  </si>
  <si>
    <t>Modellprämissen</t>
  </si>
  <si>
    <t>Handhabung des Sachkostenrechners</t>
  </si>
  <si>
    <t>Gruppe 0: Normalstation</t>
  </si>
  <si>
    <t>Warenkorb Gruppe 1: MRE-Patienten</t>
  </si>
  <si>
    <t>Warenkorb Gruppe 0: Normalstation</t>
  </si>
  <si>
    <t>Warenkorb Gruppe 2: COVID19 Normalstation</t>
  </si>
  <si>
    <t>Warenkorb Gruppe 3: ITS ohne COVID19</t>
  </si>
  <si>
    <t>Gruppe 3: ITS ohne COVID19-Fall</t>
  </si>
  <si>
    <t>1 MA in 8 Stundenschicht benötigt 1 Maske, 1 MA à 10 Patienten (0,3 Masken pro Patient in 24h)</t>
  </si>
  <si>
    <t>Bemerkung</t>
  </si>
  <si>
    <t>Einheiten pro Patient pro 24h</t>
  </si>
  <si>
    <t>Ø Preis pro BME 31. Dezember 2019</t>
  </si>
  <si>
    <t>Ø Preis pro BME 31. Januar 2020</t>
  </si>
  <si>
    <t>Ø Preis pro BME 29. Februar 2020</t>
  </si>
  <si>
    <t>Ø Preis pro BME 16. März 2020</t>
  </si>
  <si>
    <t>Ø Preis pro BME 01. April 2020</t>
  </si>
  <si>
    <t>Ø Preis pro BME 08. April 2020</t>
  </si>
  <si>
    <t>Ø Preis pro BME 15. April 2020</t>
  </si>
  <si>
    <t>Ø Preis pro BME 22. April 2020</t>
  </si>
  <si>
    <t>Ø Preis pro BME 29. April 2020</t>
  </si>
  <si>
    <t>Strukturdaten</t>
  </si>
  <si>
    <t>Aktuell werden Intensivpatienten ohne COVID19 aufgrund der Pandemie unter besonderen Schutzmaterialien behandelt.</t>
  </si>
  <si>
    <t>Kosten Schutzmaterial</t>
  </si>
  <si>
    <t>Erlöse Schutzmaterialien</t>
  </si>
  <si>
    <t>Betten Normalstation</t>
  </si>
  <si>
    <t>Bettenauslastung Normalstation %</t>
  </si>
  <si>
    <t>Bettenauslastung ITS %</t>
  </si>
  <si>
    <t xml:space="preserve">Mehrkostenpauschale </t>
  </si>
  <si>
    <t>Krankenhausspezifische Eingabedaten</t>
  </si>
  <si>
    <t>Warenkorb Gruppe 4: COVID19 auf ITS</t>
  </si>
  <si>
    <t>Betten ITS</t>
  </si>
  <si>
    <t>26 x Schutzmaske FFP2 + 4 x Schutzmaske FFP3 +
26 x Schutzbrille + 26 x Schutzkittel + 26 x Handschuhe +
26 x Überziehschuhe</t>
  </si>
  <si>
    <t>20 x Schutzmaske OP + 20 x Schutzkittel + 20 x Handschuhe</t>
  </si>
  <si>
    <t>20 x Schutzmaske FFP2 + 20 x Schutzbrille + 20 x Schutzkittel +
20 x Handschuhe + 20 x Überziehschuhe</t>
  </si>
  <si>
    <t>Anzahl Fälle Gruppe 4: COVID19 ITS</t>
  </si>
  <si>
    <t>Anrechenbarkeit Sachkosten aus DRG-Erlös pro Tag*</t>
  </si>
  <si>
    <t>'* Kosten PSA aus verschiedenen Publikationen (Preise VOR Pandemie):</t>
  </si>
  <si>
    <t>- Flessa, Hübner: Analyse der Kosten von multiresistenten Erregern in den verschiedenen Gesundheitseinreichtungen; DGKH-Kongress, 2016 --&gt; € 124.- zusätzliche PSA Kosten pro 12 Tage Isolation</t>
  </si>
  <si>
    <t>- Kiesel, Holz: Berechnung der Kosten für einen MRSA-Fall in einem Krankenhaus der Schwerpunktversorgung in Rheinland-Pfalz; aseptica 20.Jhg; 2014 --&gt; € 88.- zusätzliche PSA Kosten pro 11,7 Tage Isolation</t>
  </si>
  <si>
    <t xml:space="preserve"> </t>
  </si>
  <si>
    <t>./. Anrechenbarkeit PSA aus DRG-Erlös je Fall*</t>
  </si>
  <si>
    <t xml:space="preserve">Nachkalkulation der Mehrleistungspauschale für Sachbedarf </t>
  </si>
  <si>
    <t>Modellprämissen &amp; Bearbeitungshinweise</t>
  </si>
  <si>
    <t>Anzahl Fälle Gruppe 2: COVID19 Normalstation</t>
  </si>
  <si>
    <t>Anzahl Fälle Gruppe 1: MRE-Patienten ca. 3%</t>
  </si>
  <si>
    <t>Nachkalkulation der Mehrleistungspauschale für Sachbedarf</t>
  </si>
  <si>
    <t>Mehrkostenpauschale zur Kostendeckung</t>
  </si>
  <si>
    <t>diverse Lieferanten - Import aus China</t>
  </si>
  <si>
    <t>AHS Alto</t>
  </si>
  <si>
    <t>Mölnlycke</t>
  </si>
  <si>
    <t>Rekonmed</t>
  </si>
  <si>
    <t xml:space="preserve">Medika </t>
  </si>
  <si>
    <t>AME234291</t>
  </si>
  <si>
    <t xml:space="preserve">Ansell </t>
  </si>
  <si>
    <t>Roeser</t>
  </si>
  <si>
    <t>41.1038L</t>
  </si>
  <si>
    <t xml:space="preserve">Abena </t>
  </si>
  <si>
    <t xml:space="preserve">Franz Mensch </t>
  </si>
  <si>
    <t>AIG4006</t>
  </si>
  <si>
    <t>AIG4016</t>
  </si>
  <si>
    <t xml:space="preserve">Plazotta </t>
  </si>
  <si>
    <t>O&amp;M Halyard</t>
  </si>
  <si>
    <t>TK Services</t>
  </si>
  <si>
    <t>COVID-19-Pandemie Preisdatenbank</t>
  </si>
  <si>
    <t>Klinik 1</t>
  </si>
  <si>
    <t>Klinik 2</t>
  </si>
  <si>
    <t>Klinik 3</t>
  </si>
  <si>
    <t>Klinik 4</t>
  </si>
  <si>
    <t>Klinik 5</t>
  </si>
  <si>
    <t>Klinik 6</t>
  </si>
  <si>
    <t>Klinik 7</t>
  </si>
  <si>
    <t>Farstar</t>
  </si>
  <si>
    <t>Meditrade</t>
  </si>
  <si>
    <t>80-900</t>
  </si>
  <si>
    <t>NON27373</t>
  </si>
  <si>
    <t>M52010</t>
  </si>
  <si>
    <t>Brandstock</t>
  </si>
  <si>
    <t>LK-003</t>
  </si>
  <si>
    <t>Temofarm</t>
  </si>
  <si>
    <t>KN95/FFP2MV</t>
  </si>
  <si>
    <t>9322+</t>
  </si>
  <si>
    <t>global union</t>
  </si>
  <si>
    <t>keine Angabe</t>
  </si>
  <si>
    <t>Temofam</t>
  </si>
  <si>
    <t>FFP3OV</t>
  </si>
  <si>
    <t>9332+</t>
  </si>
  <si>
    <t>keine Latex-HS in Verwendung</t>
  </si>
  <si>
    <t>1287M</t>
  </si>
  <si>
    <t>Braun</t>
  </si>
  <si>
    <t>Paperlynen</t>
  </si>
  <si>
    <t>N74114</t>
  </si>
  <si>
    <t>Einwegkittel PP mit Druckknöpfen</t>
  </si>
  <si>
    <t>Franz Mensch</t>
  </si>
  <si>
    <t>S27767CHA</t>
  </si>
  <si>
    <t>SMS medipool</t>
  </si>
  <si>
    <t>Medi-KS</t>
  </si>
  <si>
    <t>Philip</t>
  </si>
  <si>
    <t>NONFS300</t>
  </si>
  <si>
    <t xml:space="preserve">Klinik 1 </t>
  </si>
  <si>
    <t>Min</t>
  </si>
  <si>
    <t>1. Quartil</t>
  </si>
  <si>
    <t>Median</t>
  </si>
  <si>
    <t>3. Quartil</t>
  </si>
  <si>
    <t>Max</t>
  </si>
  <si>
    <t>Range</t>
  </si>
  <si>
    <t>Preisdatenbank!</t>
  </si>
  <si>
    <t>Durchschnittspreise</t>
  </si>
  <si>
    <t xml:space="preserve">Auswahl für den stichtagsbezogenen Durchschnittspreis </t>
  </si>
  <si>
    <t>Ø Preis über den gesamten Zeitraum</t>
  </si>
  <si>
    <t xml:space="preserve">Liefermenge begrenzt </t>
  </si>
  <si>
    <t xml:space="preserve">Liefermenge extrem begrenzt </t>
  </si>
  <si>
    <t xml:space="preserve">Menge ab März begrenzt </t>
  </si>
  <si>
    <t xml:space="preserve">Menge ab April begrenzt </t>
  </si>
  <si>
    <t xml:space="preserve">Menge ab März extrem begrenzt </t>
  </si>
  <si>
    <t>Menge ab März begrenzt, ab 01.04. keine Bestellungen mehr</t>
  </si>
  <si>
    <t>ab 08.04. keine Bestellungen mehr</t>
  </si>
  <si>
    <t>Liefermenge extrem begrenzt, ab 16.03. keine Lieferungen mehr</t>
  </si>
  <si>
    <t xml:space="preserve">Liefermenge extrem begrenzt, keine Lieferungen ab 16.03.  </t>
  </si>
  <si>
    <t>Liefermenge extrem begrenzt, keine Lieferungen ab 01.04.</t>
  </si>
  <si>
    <t>Liefermenge begrenzt, keine Lieferungen ab 01.04.</t>
  </si>
  <si>
    <t xml:space="preserve">Liefermenge begrenzt, keine Lieferungen mehr ab 01.04. </t>
  </si>
  <si>
    <t>nur kleine Mengen aktuell</t>
  </si>
  <si>
    <t>große Mengen erhältlich</t>
  </si>
  <si>
    <t>Augenschutzbrille</t>
  </si>
  <si>
    <t>Visiere</t>
  </si>
  <si>
    <t>teilbeschichtete Kittel</t>
  </si>
  <si>
    <t>Ø Preis vor Preissteigerung (31.12.19 - 29.02.20)</t>
  </si>
  <si>
    <t>Ø Preis mit Preissteigerung (16.03.20 - 29.04.20)</t>
  </si>
  <si>
    <t>10 x Schutzmaske OP + 10 x Schutzkittel + 4 x Handschuhe</t>
  </si>
  <si>
    <r>
      <t xml:space="preserve">In </t>
    </r>
    <r>
      <rPr>
        <b/>
        <sz val="10"/>
        <color theme="4"/>
        <rFont val="Avenir Next LT Pro"/>
        <family val="2"/>
      </rPr>
      <t>Gruppe 4</t>
    </r>
    <r>
      <rPr>
        <sz val="10"/>
        <color theme="1"/>
        <rFont val="Avenir Next LT Pro"/>
        <family val="2"/>
      </rPr>
      <t xml:space="preserve"> sind die Patienten innerhalb 24 Std. </t>
    </r>
    <r>
      <rPr>
        <b/>
        <sz val="10"/>
        <color theme="4"/>
        <rFont val="Avenir Next LT Pro"/>
        <family val="2"/>
      </rPr>
      <t>2x</t>
    </r>
    <r>
      <rPr>
        <sz val="10"/>
        <color theme="1"/>
        <rFont val="Avenir Next LT Pro"/>
        <family val="2"/>
      </rPr>
      <t xml:space="preserve"> auf den Bauch zu lagern. Dazu werden </t>
    </r>
    <r>
      <rPr>
        <b/>
        <sz val="10"/>
        <color theme="4"/>
        <rFont val="Avenir Next LT Pro"/>
        <family val="2"/>
      </rPr>
      <t>insgesamt 4 Pflegekräfte</t>
    </r>
    <r>
      <rPr>
        <sz val="10"/>
        <color theme="1"/>
        <rFont val="Avenir Next LT Pro"/>
        <family val="2"/>
      </rPr>
      <t xml:space="preserve"> mit vollständiger Schutzausrüstung benötigt.
</t>
    </r>
    <r>
      <rPr>
        <b/>
        <sz val="10"/>
        <color theme="4"/>
        <rFont val="Avenir Next LT Pro"/>
        <family val="2"/>
      </rPr>
      <t>FFP3-Schutzmasken</t>
    </r>
    <r>
      <rPr>
        <sz val="10"/>
        <color theme="1"/>
        <rFont val="Avenir Next LT Pro"/>
        <family val="2"/>
      </rPr>
      <t xml:space="preserve"> sind bei Intubation, Tracheotomie,
Tubenwechsel sowie bei einer offenen Bronchoskopie zu tragen.
Daher lässt sich eine </t>
    </r>
    <r>
      <rPr>
        <b/>
        <sz val="10"/>
        <color theme="4"/>
        <rFont val="Avenir Next LT Pro"/>
        <family val="2"/>
      </rPr>
      <t>Häufigkeit</t>
    </r>
    <r>
      <rPr>
        <sz val="10"/>
        <color theme="1"/>
        <rFont val="Avenir Next LT Pro"/>
        <family val="2"/>
      </rPr>
      <t xml:space="preserve"> der Benutzung </t>
    </r>
    <r>
      <rPr>
        <b/>
        <sz val="10"/>
        <color theme="4"/>
        <rFont val="Avenir Next LT Pro"/>
        <family val="2"/>
      </rPr>
      <t>nicht pauschal
ableiten</t>
    </r>
    <r>
      <rPr>
        <sz val="10"/>
        <color theme="1"/>
        <rFont val="Avenir Next LT Pro"/>
        <family val="2"/>
      </rPr>
      <t>. Es sind jedoch pro Patient/je Krankenhausaufenthalt
mind.  4 Schutzmasken für In- und Extubation zu planen. Bei einer mittleren VWD von 21 Tagen (0,19 Einheiten pro Patient)</t>
    </r>
  </si>
  <si>
    <t>Prof. Dr. med. Steffen Gramminger, Geschäftsführer der hessischen Krankenhausgesellschaft, Leiter Department Medizinmanagement, Medical School Hamburg - steffen.gramminger@hkg-online.de</t>
  </si>
  <si>
    <t xml:space="preserve">Dr. Jörg Risse, Geschäftsführer Vicondo Healthcare GmbH - joerg.risse@vicondo-healthcare.de </t>
  </si>
  <si>
    <t xml:space="preserve">Prof. Dr. med. Michael Wilke, Geschäftsführer inspiring-health GmbH, Professor für Krankenhausmanagement, Medical School Hamburg - michael.wilke@inspiring-healh.de </t>
  </si>
  <si>
    <t xml:space="preserve">Disclaimer: 
Das Werkzeug wurde nach besten Wissen erstellt, die Berechnungen mehrfach plausibilisiert und anhand exemplarischer Echtdaten überprüft. 
Die Autoren übernehmen keine Haftung für die Richtigkeit. </t>
  </si>
  <si>
    <r>
      <t xml:space="preserve">Mit Einführung des COVID-19-Krankenhausentlastungsgesetzes sollen die </t>
    </r>
    <r>
      <rPr>
        <b/>
        <sz val="12"/>
        <color theme="4"/>
        <rFont val="Avenir Next LT Pro"/>
        <family val="2"/>
      </rPr>
      <t>wirtschaftlichen Folgen</t>
    </r>
    <r>
      <rPr>
        <sz val="12"/>
        <color theme="1"/>
        <rFont val="Avenir Next LT Pro"/>
        <family val="2"/>
      </rPr>
      <t xml:space="preserve"> für Krankenhäuser und Vertragsärzte </t>
    </r>
    <r>
      <rPr>
        <b/>
        <sz val="12"/>
        <color theme="4"/>
        <rFont val="Avenir Next LT Pro"/>
        <family val="2"/>
      </rPr>
      <t>aufgefangen</t>
    </r>
    <r>
      <rPr>
        <sz val="12"/>
        <color theme="1"/>
        <rFont val="Avenir Next LT Pro"/>
        <family val="2"/>
      </rPr>
      <t xml:space="preserve"> werden. Das Gesetz sieht </t>
    </r>
    <r>
      <rPr>
        <b/>
        <sz val="12"/>
        <color theme="4"/>
        <rFont val="Avenir Next LT Pro"/>
        <family val="2"/>
      </rPr>
      <t>acht wesentliche Maßnahmen</t>
    </r>
    <r>
      <rPr>
        <sz val="12"/>
        <color theme="1"/>
        <rFont val="Avenir Next LT Pro"/>
        <family val="2"/>
      </rPr>
      <t xml:space="preserve"> zur </t>
    </r>
    <r>
      <rPr>
        <b/>
        <sz val="12"/>
        <color theme="4"/>
        <rFont val="Avenir Next LT Pro"/>
        <family val="2"/>
      </rPr>
      <t>finanziellen</t>
    </r>
    <r>
      <rPr>
        <sz val="12"/>
        <color theme="1"/>
        <rFont val="Avenir Next LT Pro"/>
        <family val="2"/>
      </rPr>
      <t xml:space="preserve"> und teilweisen </t>
    </r>
    <r>
      <rPr>
        <b/>
        <sz val="12"/>
        <color theme="4"/>
        <rFont val="Avenir Next LT Pro"/>
        <family val="2"/>
      </rPr>
      <t>wirtschaftlichen Entlastung</t>
    </r>
    <r>
      <rPr>
        <sz val="12"/>
        <color theme="1"/>
        <rFont val="Avenir Next LT Pro"/>
        <family val="2"/>
      </rPr>
      <t xml:space="preserve"> der Krankenhäuser vor. Der Gesetzgeber hat im Rahmen des COVID-19-Krankenhausentlastungsgesetz eine </t>
    </r>
    <r>
      <rPr>
        <b/>
        <sz val="12"/>
        <color theme="4"/>
        <rFont val="Avenir Next LT Pro"/>
        <family val="2"/>
      </rPr>
      <t>Mehrkostenzuschlagspauschale</t>
    </r>
    <r>
      <rPr>
        <sz val="12"/>
        <color theme="1"/>
        <rFont val="Avenir Next LT Pro"/>
        <family val="2"/>
      </rPr>
      <t xml:space="preserve"> insbesondere für die </t>
    </r>
    <r>
      <rPr>
        <b/>
        <sz val="12"/>
        <color theme="4"/>
        <rFont val="Avenir Next LT Pro"/>
        <family val="2"/>
      </rPr>
      <t>Schutzausrüstung</t>
    </r>
    <r>
      <rPr>
        <sz val="12"/>
        <color theme="1"/>
        <rFont val="Avenir Next LT Pro"/>
        <family val="2"/>
      </rPr>
      <t xml:space="preserve"> verabschiedet. Für jeden </t>
    </r>
    <r>
      <rPr>
        <b/>
        <sz val="12"/>
        <color theme="4"/>
        <rFont val="Avenir Next LT Pro"/>
        <family val="2"/>
      </rPr>
      <t>stationären</t>
    </r>
    <r>
      <rPr>
        <sz val="12"/>
        <color theme="1"/>
        <rFont val="Avenir Next LT Pro"/>
        <family val="2"/>
      </rPr>
      <t xml:space="preserve"> bzw. </t>
    </r>
    <r>
      <rPr>
        <b/>
        <sz val="12"/>
        <color theme="4"/>
        <rFont val="Avenir Next LT Pro"/>
        <family val="2"/>
      </rPr>
      <t xml:space="preserve">teilstationären Fall </t>
    </r>
    <r>
      <rPr>
        <sz val="12"/>
        <color theme="1"/>
        <rFont val="Avenir Next LT Pro"/>
        <family val="2"/>
      </rPr>
      <t xml:space="preserve">wird eine Aufwandspauschale von </t>
    </r>
    <r>
      <rPr>
        <b/>
        <sz val="12"/>
        <color theme="4"/>
        <rFont val="Avenir Next LT Pro"/>
        <family val="2"/>
      </rPr>
      <t>bis zu 50 EUR pro</t>
    </r>
    <r>
      <rPr>
        <sz val="12"/>
        <color theme="1"/>
        <rFont val="Avenir Next LT Pro"/>
        <family val="2"/>
      </rPr>
      <t xml:space="preserve"> Fall vorgesehen. Der Zeitraum der Vergütungspauschale ist bis zum </t>
    </r>
    <r>
      <rPr>
        <b/>
        <sz val="12"/>
        <color theme="4"/>
        <rFont val="Avenir Next LT Pro"/>
        <family val="2"/>
      </rPr>
      <t>30.06.2020</t>
    </r>
    <r>
      <rPr>
        <sz val="12"/>
        <color theme="1"/>
        <rFont val="Avenir Next LT Pro"/>
        <family val="2"/>
      </rPr>
      <t xml:space="preserve"> befristet, kann aber in Abhängigkeit der Pandemiedauer auch verlängert werden. Die tägliche Praxis in den Krankenhäuser zeigt, dass die medizinische und pflegerische </t>
    </r>
    <r>
      <rPr>
        <b/>
        <sz val="12"/>
        <color theme="4"/>
        <rFont val="Avenir Next LT Pro"/>
        <family val="2"/>
      </rPr>
      <t>Behandlung</t>
    </r>
    <r>
      <rPr>
        <sz val="12"/>
        <color theme="1"/>
        <rFont val="Avenir Next LT Pro"/>
        <family val="2"/>
      </rPr>
      <t xml:space="preserve"> der </t>
    </r>
    <r>
      <rPr>
        <b/>
        <sz val="12"/>
        <color theme="4"/>
        <rFont val="Avenir Next LT Pro"/>
        <family val="2"/>
      </rPr>
      <t>COVID-19-Patienten</t>
    </r>
    <r>
      <rPr>
        <sz val="12"/>
        <color theme="1"/>
        <rFont val="Avenir Next LT Pro"/>
        <family val="2"/>
      </rPr>
      <t xml:space="preserve"> einen </t>
    </r>
    <r>
      <rPr>
        <b/>
        <sz val="12"/>
        <color theme="4"/>
        <rFont val="Avenir Next LT Pro"/>
        <family val="2"/>
      </rPr>
      <t>hohen Materialaufwand</t>
    </r>
    <r>
      <rPr>
        <sz val="12"/>
        <color theme="1"/>
        <rFont val="Avenir Next LT Pro"/>
        <family val="2"/>
      </rPr>
      <t xml:space="preserve"> nach sich zieht, der in den</t>
    </r>
    <r>
      <rPr>
        <b/>
        <sz val="12"/>
        <color theme="4"/>
        <rFont val="Avenir Next LT Pro"/>
        <family val="2"/>
      </rPr>
      <t xml:space="preserve"> DRGs aktuell nicht vergütet</t>
    </r>
    <r>
      <rPr>
        <sz val="12"/>
        <color theme="1"/>
        <rFont val="Avenir Next LT Pro"/>
        <family val="2"/>
      </rPr>
      <t xml:space="preserve"> ist. Zudem stellen wir seit dem Ausbruch der Pandemie eine </t>
    </r>
    <r>
      <rPr>
        <b/>
        <sz val="12"/>
        <color theme="4"/>
        <rFont val="Avenir Next LT Pro"/>
        <family val="2"/>
      </rPr>
      <t>weltweite Preissteigerung</t>
    </r>
    <r>
      <rPr>
        <sz val="12"/>
        <color theme="1"/>
        <rFont val="Avenir Next LT Pro"/>
        <family val="2"/>
      </rPr>
      <t xml:space="preserve"> bei den kritischen </t>
    </r>
    <r>
      <rPr>
        <b/>
        <sz val="12"/>
        <color theme="4"/>
        <rFont val="Avenir Next LT Pro"/>
        <family val="2"/>
      </rPr>
      <t>Materialien</t>
    </r>
    <r>
      <rPr>
        <sz val="12"/>
        <color theme="1"/>
        <rFont val="Avenir Next LT Pro"/>
        <family val="2"/>
      </rPr>
      <t xml:space="preserve"> fest. Den hohen </t>
    </r>
    <r>
      <rPr>
        <b/>
        <sz val="12"/>
        <color theme="4"/>
        <rFont val="Avenir Next LT Pro"/>
        <family val="2"/>
      </rPr>
      <t>Materialverbrauch</t>
    </r>
    <r>
      <rPr>
        <sz val="12"/>
        <color theme="1"/>
        <rFont val="Avenir Next LT Pro"/>
        <family val="2"/>
      </rPr>
      <t xml:space="preserve"> und auch die </t>
    </r>
    <r>
      <rPr>
        <b/>
        <sz val="12"/>
        <color theme="4"/>
        <rFont val="Avenir Next LT Pro"/>
        <family val="2"/>
      </rPr>
      <t>Preissteigerung</t>
    </r>
    <r>
      <rPr>
        <sz val="12"/>
        <color theme="1"/>
        <rFont val="Avenir Next LT Pro"/>
        <family val="2"/>
      </rPr>
      <t xml:space="preserve"> sehen wir aktuell </t>
    </r>
    <r>
      <rPr>
        <b/>
        <sz val="12"/>
        <color theme="4"/>
        <rFont val="Avenir Next LT Pro"/>
        <family val="2"/>
      </rPr>
      <t>nicht</t>
    </r>
    <r>
      <rPr>
        <sz val="12"/>
        <color theme="1"/>
        <rFont val="Avenir Next LT Pro"/>
        <family val="2"/>
      </rPr>
      <t xml:space="preserve"> in der vor</t>
    </r>
    <r>
      <rPr>
        <b/>
        <sz val="12"/>
        <color theme="4"/>
        <rFont val="Avenir Next LT Pro"/>
        <family val="2"/>
      </rPr>
      <t>liegenden Mehrkostenzuschlagspauschale abgebildet</t>
    </r>
    <r>
      <rPr>
        <sz val="12"/>
        <color theme="1"/>
        <rFont val="Avenir Next LT Pro"/>
        <family val="2"/>
      </rPr>
      <t xml:space="preserve">.
Wir haben für die </t>
    </r>
    <r>
      <rPr>
        <b/>
        <sz val="12"/>
        <color theme="4"/>
        <rFont val="Avenir Next LT Pro"/>
        <family val="2"/>
      </rPr>
      <t>Nachkalkulation des Sachbedarfs</t>
    </r>
    <r>
      <rPr>
        <sz val="12"/>
        <color theme="1"/>
        <rFont val="Avenir Next LT Pro"/>
        <family val="2"/>
      </rPr>
      <t xml:space="preserve">, insbesondere für die persönliche Schutzausrüstung, eine </t>
    </r>
    <r>
      <rPr>
        <b/>
        <sz val="12"/>
        <color theme="4"/>
        <rFont val="Avenir Next LT Pro"/>
        <family val="2"/>
      </rPr>
      <t>Methodik</t>
    </r>
    <r>
      <rPr>
        <sz val="12"/>
        <color theme="1"/>
        <rFont val="Avenir Next LT Pro"/>
        <family val="2"/>
      </rPr>
      <t xml:space="preserve"> zur </t>
    </r>
    <r>
      <rPr>
        <b/>
        <sz val="12"/>
        <color theme="4"/>
        <rFont val="Avenir Next LT Pro"/>
        <family val="2"/>
      </rPr>
      <t>Abschätzung</t>
    </r>
    <r>
      <rPr>
        <sz val="12"/>
        <color theme="1"/>
        <rFont val="Avenir Next LT Pro"/>
        <family val="2"/>
      </rPr>
      <t xml:space="preserve"> des </t>
    </r>
    <r>
      <rPr>
        <b/>
        <sz val="12"/>
        <color theme="4"/>
        <rFont val="Avenir Next LT Pro"/>
        <family val="2"/>
      </rPr>
      <t xml:space="preserve">tatsächlichen finanziellen Aufwands </t>
    </r>
    <r>
      <rPr>
        <sz val="12"/>
        <color theme="1"/>
        <rFont val="Avenir Next LT Pro"/>
        <family val="2"/>
      </rPr>
      <t>erstellt. 
Wir freuen uns über eine breite Anwendung und über Rückmeldungen.</t>
    </r>
  </si>
  <si>
    <t>Warengruppe</t>
  </si>
  <si>
    <t>MNS Einfach</t>
  </si>
  <si>
    <t/>
  </si>
  <si>
    <t>OP-Maske Carpex Comfort</t>
  </si>
  <si>
    <t>Mundschutz weiss mit Gummiband </t>
  </si>
  <si>
    <t>Gesichtsmaske Surg. mOhrenschlaufen blau</t>
  </si>
  <si>
    <t>Maske OP Hyperallerg. Surgical Plus Opal</t>
  </si>
  <si>
    <t>OP-Maske Bartträger grün xtr breit</t>
  </si>
  <si>
    <t>OP-Maske blau Surgical</t>
  </si>
  <si>
    <t>OP-Maske grün mit Bindeband</t>
  </si>
  <si>
    <t>OP-Maske grün Sentinex Lite</t>
  </si>
  <si>
    <t>OP Maske mit Schutzvisier</t>
  </si>
  <si>
    <t>OP Standard Maske m. Ohrschlaufen blau</t>
  </si>
  <si>
    <t>OP-Gesichtsmaske m. Ohrschlaufen</t>
  </si>
  <si>
    <t>OP-Maske Antifog blau hypoallergen</t>
  </si>
  <si>
    <t>Op-Maske Basic m. Ohrschlaufen Blau</t>
  </si>
  <si>
    <t>OP-Maske Basic mit Bindebändern blau</t>
  </si>
  <si>
    <t>OP-Maske blau Barrier* II</t>
  </si>
  <si>
    <t>OP-Maske blau Standard</t>
  </si>
  <si>
    <t>OP-Maske Extra Protection IIR violet</t>
  </si>
  <si>
    <t>OP-Maske Spezial Soft Hypoallergen Weiss</t>
  </si>
  <si>
    <t>Foliodress mask anti fogging P50</t>
  </si>
  <si>
    <t>0906401</t>
  </si>
  <si>
    <t>76.305.06.000</t>
  </si>
  <si>
    <t>62100</t>
  </si>
  <si>
    <t>63500</t>
  </si>
  <si>
    <t>61700</t>
  </si>
  <si>
    <t>61100</t>
  </si>
  <si>
    <t>61000</t>
  </si>
  <si>
    <t>11991</t>
  </si>
  <si>
    <t>NON27410</t>
  </si>
  <si>
    <t>NONE27378</t>
  </si>
  <si>
    <t>657200</t>
  </si>
  <si>
    <t>4231</t>
  </si>
  <si>
    <t>4311</t>
  </si>
  <si>
    <t>4312</t>
  </si>
  <si>
    <t>4230</t>
  </si>
  <si>
    <t>657000-11</t>
  </si>
  <si>
    <t>4236</t>
  </si>
  <si>
    <t>658300</t>
  </si>
  <si>
    <t>992530</t>
  </si>
  <si>
    <t>EuChin GmbH</t>
  </si>
  <si>
    <t>FarStar medical GmbH</t>
  </si>
  <si>
    <t>Mölnlycke Health Care GmbH</t>
  </si>
  <si>
    <t>Stark Deutschland GmbH</t>
  </si>
  <si>
    <t>Atemschutzmaske FFP 2</t>
  </si>
  <si>
    <t>Atemschutzmaske FFP2 ohne Ventil</t>
  </si>
  <si>
    <t>OP-Maske FFP2 Extra Filtration</t>
  </si>
  <si>
    <t>Feinstaubmaske  FFP2 #81729/08</t>
  </si>
  <si>
    <t>Feinstaubmaske  FFP2 #81729/11</t>
  </si>
  <si>
    <t>3M Deutschland GmbH</t>
  </si>
  <si>
    <t>Atemschutzmaske mit Ventil FFP2 Aura</t>
  </si>
  <si>
    <t>Atemschutzmaske FFP2 mit Ventil</t>
  </si>
  <si>
    <t>Atemschutzmaske FFP3 mit Ventil</t>
  </si>
  <si>
    <t>Atemschutzmaske FFP3 ohne Ventil</t>
  </si>
  <si>
    <t>Atemschutzmaske FFP3S mit Spezialventil</t>
  </si>
  <si>
    <t>Medline International Germany GmbH</t>
  </si>
  <si>
    <t>Atemschutzmaske FFP3 Typ IIR weiß kon</t>
  </si>
  <si>
    <t>Medika Medizintechnik GmbH</t>
  </si>
  <si>
    <t>Schutzkittel L gelb PE-besch Bukarest</t>
  </si>
  <si>
    <t>Schutzkittel st XL orange PE-besch Rom</t>
  </si>
  <si>
    <t>Schutzkittel XL gelb PE-besch Bukarest</t>
  </si>
  <si>
    <t>E7:M34</t>
  </si>
  <si>
    <t>E41:M53</t>
  </si>
  <si>
    <t>E60:M69</t>
  </si>
  <si>
    <t>E76:M82</t>
  </si>
  <si>
    <t>E89:M96</t>
  </si>
  <si>
    <t>E103:M105</t>
  </si>
  <si>
    <t>E114:M122</t>
  </si>
  <si>
    <t>E130:M135</t>
  </si>
  <si>
    <t>E142:M145</t>
  </si>
  <si>
    <t>E153:M161</t>
  </si>
  <si>
    <t>FFP 2 ohne Ventil</t>
  </si>
  <si>
    <t>COVID-19-Pandemie Preisblatt</t>
  </si>
  <si>
    <t>Auswahlfeld</t>
  </si>
  <si>
    <t>Preisdatenbank</t>
  </si>
  <si>
    <t>Version 1.4.
Stand 28.04.2020</t>
  </si>
  <si>
    <r>
      <t>Der aufgeführte bewertete Verbrauch im Tabellenblatt "</t>
    </r>
    <r>
      <rPr>
        <b/>
        <sz val="10"/>
        <color theme="4"/>
        <rFont val="Avenir Next LT Pro"/>
        <family val="2"/>
      </rPr>
      <t>Warenkorb</t>
    </r>
    <r>
      <rPr>
        <sz val="10"/>
        <color theme="1"/>
        <rFont val="Avenir Next LT Pro"/>
        <family val="2"/>
      </rPr>
      <t>" basiert auf Benchmarks sowie Literaturangaben und wird durch eine Verknüpfung mit unserer "</t>
    </r>
    <r>
      <rPr>
        <b/>
        <sz val="10"/>
        <color theme="4"/>
        <rFont val="Avenir Next LT Pro"/>
        <family val="2"/>
      </rPr>
      <t>Preisdatenbank</t>
    </r>
    <r>
      <rPr>
        <sz val="10"/>
        <color theme="1"/>
        <rFont val="Avenir Next LT Pro"/>
        <family val="2"/>
      </rPr>
      <t xml:space="preserve">" vervollständigt. Die Preisdatenbank enthält Preisdaten verschiedener Kliniken von der Grund- und Regelversorgung bis zum Uniklinikum sowie Kliniken in öffentlicher wie privater Trägerschaft und wird sukzessive mit weiteren Daten gefüllt. Anwender haben die Möglichkeit die </t>
    </r>
    <r>
      <rPr>
        <b/>
        <sz val="10"/>
        <color theme="4"/>
        <rFont val="Avenir Next LT Pro"/>
        <family val="2"/>
      </rPr>
      <t>Durchschnittspreise</t>
    </r>
    <r>
      <rPr>
        <sz val="10"/>
        <color theme="1"/>
        <rFont val="Avenir Next LT Pro"/>
        <family val="2"/>
      </rPr>
      <t xml:space="preserve"> aus der </t>
    </r>
    <r>
      <rPr>
        <b/>
        <sz val="10"/>
        <color theme="4"/>
        <rFont val="Avenir Next LT Pro"/>
        <family val="2"/>
      </rPr>
      <t>Preisdatenbank</t>
    </r>
    <r>
      <rPr>
        <sz val="10"/>
        <color theme="1"/>
        <rFont val="Avenir Next LT Pro"/>
        <family val="2"/>
      </rPr>
      <t xml:space="preserve"> zu verwenden oder aber im Tabellenblatt "</t>
    </r>
    <r>
      <rPr>
        <b/>
        <sz val="10"/>
        <color theme="4"/>
        <rFont val="Avenir Next LT Pro"/>
        <family val="2"/>
      </rPr>
      <t>Preisblatt</t>
    </r>
    <r>
      <rPr>
        <sz val="10"/>
        <color theme="1"/>
        <rFont val="Avenir Next LT Pro"/>
        <family val="2"/>
      </rPr>
      <t xml:space="preserve">" ihre </t>
    </r>
    <r>
      <rPr>
        <b/>
        <sz val="10"/>
        <color theme="4"/>
        <rFont val="Avenir Next LT Pro"/>
        <family val="2"/>
      </rPr>
      <t>krankenhausindividuellen Daten</t>
    </r>
    <r>
      <rPr>
        <sz val="10"/>
        <color theme="1"/>
        <rFont val="Avenir Next LT Pro"/>
        <family val="2"/>
      </rPr>
      <t xml:space="preserve"> einzugeben. Im Tabellenblatt "</t>
    </r>
    <r>
      <rPr>
        <b/>
        <sz val="10"/>
        <color theme="4"/>
        <rFont val="Avenir Next LT Pro"/>
        <family val="2"/>
      </rPr>
      <t>Warenkorb</t>
    </r>
    <r>
      <rPr>
        <sz val="10"/>
        <color theme="1"/>
        <rFont val="Avenir Next LT Pro"/>
        <family val="2"/>
      </rPr>
      <t xml:space="preserve">" </t>
    </r>
    <r>
      <rPr>
        <b/>
        <u/>
        <sz val="10"/>
        <color rgb="FFC00000"/>
        <rFont val="Avenir Next LT Pro"/>
        <family val="2"/>
      </rPr>
      <t>muss</t>
    </r>
    <r>
      <rPr>
        <sz val="10"/>
        <color theme="1"/>
        <rFont val="Avenir Next LT Pro"/>
        <family val="2"/>
      </rPr>
      <t xml:space="preserve"> die Auswahl getroffen werden, ob Daten aus der Preisdatenbank oder krankenhausindividuelle Daten verwendet werden. 
Zudem können im Tabellenblatt "</t>
    </r>
    <r>
      <rPr>
        <b/>
        <sz val="10"/>
        <color theme="4"/>
        <rFont val="Avenir Next LT Pro"/>
        <family val="2"/>
      </rPr>
      <t>Warenkorb</t>
    </r>
    <r>
      <rPr>
        <sz val="10"/>
        <color theme="1"/>
        <rFont val="Avenir Next LT Pro"/>
        <family val="2"/>
      </rPr>
      <t>" die stichtagsbezogenen Durchschnittspreise des Warenkorbs der verschiedenen Patientengruppen eingestellt werden. Neben den stichtagsbezogenen Preisen kann der Durchschnittspreis des Gesamtzeitraums sowie der Durchschnittspreis vor der Corona-Krise sowie währenddessen ausgewählt werden. Der jeweils im Tabellenblatt „Warenkorb“ ausgewählte Zeitpunkt wird im Tabellenblatt „Sachkostenrechner“ angezeigt.
Im Tabellenblatt "</t>
    </r>
    <r>
      <rPr>
        <b/>
        <sz val="10"/>
        <color theme="4"/>
        <rFont val="Avenir Next LT Pro"/>
        <family val="2"/>
      </rPr>
      <t>Sachkostenrechner</t>
    </r>
    <r>
      <rPr>
        <sz val="10"/>
        <color theme="1"/>
        <rFont val="Avenir Next LT Pro"/>
        <family val="2"/>
      </rPr>
      <t xml:space="preserve">" werden die  krankenhausindividuellen Angaben wie Fallzahlen und mittlere Verweildauer nach den unterschiedlichen Gruppen, Anzahl der Betten sowie Auslastung individuell eingetragen und mit den ermittelten Kosten ergänzt. Die Aufstellung erfolgt separat für Normalstation (Gruppe 0-2) und Intensivstation (Gruppe 3-4). Abschließend werden die extra ausgewiesenen Erlöse und Kosten des gesamten Krankenhauses zusammengeführt.  Hieraus lässt sich abschätzen, ob die Mehrkostenpauschale in Höhe von 50 Euro pro Fall im Vergleich zu den tatsächlichen krankenhausindividuellen Sachkosten für Schutzausrüstung zur Kostendeckung ausreichen.
</t>
    </r>
  </si>
  <si>
    <t>Bitte hier die Auswahl treffen, ob die Preisdatenbank (Benchmark-Daten) oder krankenhausindividuelle Preise verwendet werden!</t>
  </si>
  <si>
    <t>Es wurden fünf verschiedene Patientengruppen sowie den Gruppen entsprechende "Warenkörbe" an Schutzausrüstung definiert. Bei Patientengruppe 0 bis 2 handelt es sich um Patienten auf Normalstation wohingegen die Gruppe 3 ohne COVID-19 und Gruppe 4 mit COVID-19 Fälle auf Intensivstation umfasst. Mit fortschreitender Nummerierung der Gruppe steigt demnach die Fallschwere der Patienten. Zusätzlich lassen sich die Gruppen nach Umfang/Bedarf der benötigten Schutzausrüstung differenzieren.
Die getroffenen Prämissen basieren auf Literaturrecherchen und fachkundigen Erfahrungswerten. Dabei wird als Berechnungsgrundlage von 20 Kontakten pro Patient je 24 Std. ausgegangen bei dem gruppenindividuelle Verbrauchseinheiten definiert wurden. Es wird angenommen, dass alle Verbrauchseinheiten bei Patientenkontakt nur einmal verwendet werden (Ausnahme Gruppe 1)!
Die Anrechenbarkeit von Sachkosten aus dem DRG-Erlös pro Tag“ kann aus der InEK-Kostenmatrix so differenziert nicht identifiziert werden. Daher wurde ein Mittelwert der Kosten von verschiedenen Studien gebildet. Es wird davon ausgegangen, dass die Kosten ebenfalls in dieser Höhe über die Kalkulationshäuser in die DRG-Kalkulation eingeflossen sind. Dieser Mittelwert ist eher als „großzügig zu bewerten“ und kann als Eingabefeld auch individuell verändert werden.</t>
  </si>
  <si>
    <t>CAVE: Sie haben hier die Möglichkeit Ihre krankenhausindividuellen Preisdaten einzutragen. Sollten Sie die Durchschnittspreise aus unserer Preisdatenbank verwenden wollen, so können Sie im Tabellenblatt "Warenkorb" im Drop-Down Menü die Preisdatenbank auswählen.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</si>
</sst>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4" formatCode="_-* #,##0.00\ &quot;€&quot;_-;\-* #,##0.00\ &quot;€&quot;_-;_-* &quot;-&quot;??\ &quot;€&quot;_-;_-@_-"/>
    <numFmt numFmtId="43" formatCode="_-* #,##0.00_-;\-* #,##0.00_-;_-* &quot;-&quot;??_-;_-@_-"/>
    <numFmt numFmtId="164" formatCode="_-* #,##0.00\ _€_-;\-* #,##0.00\ _€_-;_-* &quot;-&quot;??\ _€_-;_-@_-"/>
    <numFmt numFmtId="165" formatCode="0.0%"/>
    <numFmt numFmtId="166" formatCode="#,##0.0"/>
    <numFmt numFmtId="167" formatCode="0.0"/>
    <numFmt numFmtId="168" formatCode="#,##0.00\ &quot;€&quot;"/>
    <numFmt numFmtId="169" formatCode="_-* #,##0_-;\-* #,##0_-;_-* &quot;-&quot;??_-;_-@_-"/>
    <numFmt numFmtId="170" formatCode="_-* #,##0\ &quot;€&quot;_-;\-* #,##0\ &quot;€&quot;_-;_-* &quot;-&quot;??\ &quot;€&quot;_-;_-@_-"/>
    <numFmt numFmtId="171" formatCode="_-* #,##0.00\ [$€-407]_-;\-* #,##0.00\ [$€-407]_-;_-* &quot;-&quot;??\ [$€-407]_-;_-@_-"/>
    <numFmt numFmtId="172" formatCode="#,##0.000\ &quot;€&quot;"/>
    <numFmt numFmtId="173" formatCode="_-* #,##0.000\ &quot;€&quot;_-;\-* #,##0.000\ &quot;€&quot;_-;_-* &quot;-&quot;??\ &quot;€&quot;_-;_-@_-"/>
  </numFmts>
  <fonts count="58">
    <font>
      <sz val="11"/>
      <color theme="1"/>
      <name val="Calibri"/>
      <family val="2"/>
      <scheme val="minor"/>
    </font>
    <font>
      <b/>
      <sz val="11"/>
      <color theme="1"/>
      <name val="Calibri"/>
      <family val="2"/>
      <scheme val="minor"/>
    </font>
    <font>
      <b/>
      <i/>
      <sz val="11"/>
      <color theme="1"/>
      <name val="Calibri"/>
      <family val="2"/>
      <scheme val="minor"/>
    </font>
    <font>
      <sz val="11"/>
      <color rgb="FFFF0000"/>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6"/>
      <color theme="1"/>
      <name val="Avenir Next LT Pro"/>
      <family val="2"/>
    </font>
    <font>
      <sz val="11"/>
      <color theme="1"/>
      <name val="Avenir Next LT Pro"/>
      <family val="2"/>
    </font>
    <font>
      <sz val="11"/>
      <color theme="0"/>
      <name val="Avenir Next LT Pro"/>
      <family val="2"/>
    </font>
    <font>
      <b/>
      <sz val="11"/>
      <color theme="1"/>
      <name val="Avenir Next LT Pro"/>
      <family val="2"/>
    </font>
    <font>
      <b/>
      <sz val="13"/>
      <color theme="1"/>
      <name val="Avenir Next LT Pro"/>
      <family val="2"/>
    </font>
    <font>
      <b/>
      <sz val="11"/>
      <color rgb="FFFA7D00"/>
      <name val="Avenir Next LT Pro"/>
      <family val="2"/>
    </font>
    <font>
      <b/>
      <sz val="11"/>
      <name val="Avenir Next LT Pro"/>
      <family val="2"/>
    </font>
    <font>
      <sz val="11"/>
      <color rgb="FF9C0006"/>
      <name val="Avenir Next LT Pro"/>
      <family val="2"/>
    </font>
    <font>
      <b/>
      <sz val="12"/>
      <color theme="0"/>
      <name val="Avenir Next LT Pro"/>
      <family val="2"/>
    </font>
    <font>
      <b/>
      <sz val="11"/>
      <color theme="9"/>
      <name val="Avenir Next LT Pro"/>
      <family val="2"/>
    </font>
    <font>
      <sz val="11"/>
      <name val="Avenir Next LT Pro"/>
      <family val="2"/>
    </font>
    <font>
      <b/>
      <sz val="10"/>
      <color theme="0"/>
      <name val="Avenir Next LT Pro"/>
      <family val="2"/>
    </font>
    <font>
      <b/>
      <sz val="14"/>
      <color theme="5"/>
      <name val="Avenir Next LT Pro"/>
      <family val="2"/>
    </font>
    <font>
      <sz val="10"/>
      <color theme="1"/>
      <name val="Avenir Next LT Pro"/>
      <family val="2"/>
    </font>
    <font>
      <b/>
      <sz val="10"/>
      <color theme="4"/>
      <name val="Avenir Next LT Pro"/>
      <family val="2"/>
    </font>
    <font>
      <sz val="11"/>
      <color theme="1"/>
      <name val="Avenir (textkörper)"/>
    </font>
    <font>
      <b/>
      <i/>
      <sz val="11"/>
      <color theme="0"/>
      <name val="Avenir (textkörper)"/>
    </font>
    <font>
      <b/>
      <sz val="10"/>
      <color theme="1"/>
      <name val="Avenir Next LT Pro"/>
      <family val="2"/>
    </font>
    <font>
      <b/>
      <sz val="14"/>
      <color theme="4"/>
      <name val="Avenir Next LT Pro"/>
      <family val="2"/>
    </font>
    <font>
      <b/>
      <sz val="14"/>
      <color theme="6"/>
      <name val="Avenir Next LT Pro"/>
      <family val="2"/>
    </font>
    <font>
      <b/>
      <sz val="16"/>
      <color theme="5"/>
      <name val="Avenir Next LT Pro"/>
      <family val="2"/>
    </font>
    <font>
      <b/>
      <sz val="15"/>
      <color theme="4"/>
      <name val="Avenir Next LT Pro"/>
      <family val="2"/>
    </font>
    <font>
      <b/>
      <sz val="12"/>
      <color theme="1"/>
      <name val="Avenir Next LT Pro"/>
      <family val="2"/>
    </font>
    <font>
      <b/>
      <sz val="11"/>
      <color theme="0"/>
      <name val="Avenir Next LT Pro"/>
      <family val="2"/>
    </font>
    <font>
      <b/>
      <sz val="14"/>
      <color theme="0"/>
      <name val="Avenir Next LT Pro"/>
      <family val="2"/>
    </font>
    <font>
      <b/>
      <sz val="11"/>
      <color rgb="FF9C0006"/>
      <name val="Avenir Next LT Pro"/>
      <family val="2"/>
    </font>
    <font>
      <b/>
      <sz val="11"/>
      <color rgb="FF006100"/>
      <name val="Avenir Next LT Pro"/>
      <family val="2"/>
    </font>
    <font>
      <sz val="12"/>
      <color theme="1"/>
      <name val="Avenir Next LT Pro"/>
      <family val="2"/>
    </font>
    <font>
      <b/>
      <sz val="12"/>
      <color theme="4"/>
      <name val="Avenir Next LT Pro"/>
      <family val="2"/>
    </font>
    <font>
      <b/>
      <sz val="11"/>
      <color theme="1"/>
      <name val="Avenir Next LT Pro"/>
      <family val="2"/>
    </font>
    <font>
      <b/>
      <sz val="11"/>
      <name val="Avenir Next LT Pro"/>
      <family val="2"/>
    </font>
    <font>
      <b/>
      <sz val="16"/>
      <color theme="2"/>
      <name val="Avenir Next LT Pro"/>
      <family val="2"/>
    </font>
    <font>
      <sz val="14"/>
      <color theme="1"/>
      <name val="Avenir Next LT Pro"/>
      <family val="2"/>
    </font>
    <font>
      <b/>
      <sz val="15"/>
      <color theme="6" tint="-0.499984740745262"/>
      <name val="Avenir Next LT Pro"/>
      <family val="2"/>
    </font>
    <font>
      <b/>
      <sz val="20"/>
      <color theme="5"/>
      <name val="Avenir Next LT Pro"/>
      <family val="2"/>
    </font>
    <font>
      <sz val="8"/>
      <name val="Calibri"/>
      <family val="2"/>
      <scheme val="minor"/>
    </font>
    <font>
      <sz val="9"/>
      <color theme="1"/>
      <name val="Avenir Next LT Pro"/>
      <family val="2"/>
    </font>
    <font>
      <b/>
      <sz val="9"/>
      <color theme="1"/>
      <name val="Avenir Next LT Pro"/>
      <family val="2"/>
    </font>
    <font>
      <i/>
      <sz val="11"/>
      <color theme="1"/>
      <name val="Calibri"/>
      <family val="2"/>
      <scheme val="minor"/>
    </font>
    <font>
      <sz val="9"/>
      <color rgb="FFFF0000"/>
      <name val="Avenir Next LT Pro"/>
      <family val="2"/>
    </font>
    <font>
      <u/>
      <sz val="11"/>
      <color theme="10"/>
      <name val="Calibri"/>
      <family val="2"/>
      <scheme val="minor"/>
    </font>
    <font>
      <i/>
      <sz val="10"/>
      <color theme="1"/>
      <name val="Avenir Next LT Pro"/>
      <family val="2"/>
    </font>
    <font>
      <u/>
      <sz val="12"/>
      <color theme="10"/>
      <name val="Avenir Next LT Pro"/>
      <family val="2"/>
    </font>
    <font>
      <i/>
      <sz val="10"/>
      <color theme="2"/>
      <name val="Avenir Next LT Pro"/>
      <family val="2"/>
    </font>
    <font>
      <sz val="16"/>
      <color theme="0"/>
      <name val="Avenir Next LT Pro"/>
      <family val="2"/>
    </font>
    <font>
      <b/>
      <sz val="14"/>
      <color theme="1"/>
      <name val="Avenir Next LT Pro"/>
      <family val="2"/>
    </font>
    <font>
      <b/>
      <u/>
      <sz val="12"/>
      <color theme="0"/>
      <name val="Avenir Next LT Pro"/>
      <family val="2"/>
    </font>
    <font>
      <b/>
      <u/>
      <sz val="10"/>
      <color rgb="FFC00000"/>
      <name val="Avenir Next LT Pro"/>
      <family val="2"/>
    </font>
  </fonts>
  <fills count="21">
    <fill>
      <patternFill patternType="none"/>
    </fill>
    <fill>
      <patternFill patternType="gray125"/>
    </fill>
    <fill>
      <patternFill patternType="solid">
        <fgColor theme="7" tint="0.79998168889431442"/>
        <bgColor indexed="64"/>
      </patternFill>
    </fill>
    <fill>
      <patternFill patternType="solid">
        <fgColor theme="0"/>
        <bgColor indexed="64"/>
      </patternFill>
    </fill>
    <fill>
      <patternFill patternType="solid">
        <fgColor theme="4" tint="0.79998168889431442"/>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theme="5" tint="0.59999389629810485"/>
        <bgColor indexed="64"/>
      </patternFill>
    </fill>
    <fill>
      <patternFill patternType="solid">
        <fgColor theme="5"/>
        <bgColor indexed="64"/>
      </patternFill>
    </fill>
    <fill>
      <patternFill patternType="solid">
        <fgColor rgb="FFFFFF00"/>
        <bgColor indexed="64"/>
      </patternFill>
    </fill>
    <fill>
      <patternFill patternType="solid">
        <fgColor theme="4"/>
        <bgColor indexed="64"/>
      </patternFill>
    </fill>
    <fill>
      <patternFill patternType="solid">
        <fgColor theme="8"/>
        <bgColor indexed="64"/>
      </patternFill>
    </fill>
    <fill>
      <patternFill patternType="solid">
        <fgColor theme="3"/>
        <bgColor indexed="64"/>
      </patternFill>
    </fill>
    <fill>
      <patternFill patternType="solid">
        <fgColor theme="0" tint="-4.9989318521683403E-2"/>
        <bgColor indexed="64"/>
      </patternFill>
    </fill>
    <fill>
      <patternFill patternType="solid">
        <fgColor theme="9"/>
        <bgColor indexed="64"/>
      </patternFill>
    </fill>
    <fill>
      <patternFill patternType="solid">
        <fgColor rgb="FFC00000"/>
        <bgColor indexed="64"/>
      </patternFill>
    </fill>
    <fill>
      <patternFill patternType="solid">
        <fgColor theme="5" tint="0.39997558519241921"/>
        <bgColor indexed="64"/>
      </patternFill>
    </fill>
    <fill>
      <patternFill patternType="solid">
        <fgColor theme="6"/>
        <bgColor indexed="64"/>
      </patternFill>
    </fill>
    <fill>
      <patternFill patternType="solid">
        <fgColor theme="5" tint="0.7999816888943144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dotted">
        <color indexed="64"/>
      </right>
      <top style="medium">
        <color indexed="64"/>
      </top>
      <bottom style="thin">
        <color indexed="64"/>
      </bottom>
      <diagonal/>
    </border>
    <border>
      <left style="dotted">
        <color indexed="64"/>
      </left>
      <right style="medium">
        <color indexed="64"/>
      </right>
      <top style="medium">
        <color indexed="64"/>
      </top>
      <bottom style="thin">
        <color indexed="64"/>
      </bottom>
      <diagonal/>
    </border>
    <border>
      <left style="medium">
        <color indexed="64"/>
      </left>
      <right style="dotted">
        <color indexed="64"/>
      </right>
      <top style="thin">
        <color indexed="64"/>
      </top>
      <bottom style="thin">
        <color indexed="64"/>
      </bottom>
      <diagonal/>
    </border>
    <border>
      <left style="dotted">
        <color indexed="64"/>
      </left>
      <right style="medium">
        <color indexed="64"/>
      </right>
      <top style="thin">
        <color indexed="64"/>
      </top>
      <bottom style="thin">
        <color indexed="64"/>
      </bottom>
      <diagonal/>
    </border>
    <border>
      <left style="medium">
        <color indexed="64"/>
      </left>
      <right style="dotted">
        <color indexed="64"/>
      </right>
      <top style="thin">
        <color indexed="64"/>
      </top>
      <bottom style="medium">
        <color indexed="64"/>
      </bottom>
      <diagonal/>
    </border>
    <border>
      <left style="dotted">
        <color indexed="64"/>
      </left>
      <right style="medium">
        <color indexed="64"/>
      </right>
      <top style="thin">
        <color indexed="64"/>
      </top>
      <bottom style="medium">
        <color indexed="64"/>
      </bottom>
      <diagonal/>
    </border>
    <border>
      <left/>
      <right style="dotted">
        <color indexed="64"/>
      </right>
      <top style="medium">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diagonal/>
    </border>
    <border>
      <left/>
      <right/>
      <top/>
      <bottom style="thin">
        <color theme="4"/>
      </bottom>
      <diagonal/>
    </border>
    <border>
      <left/>
      <right/>
      <top/>
      <bottom style="thin">
        <color theme="6"/>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right/>
      <top style="thin">
        <color indexed="64"/>
      </top>
      <bottom/>
      <diagonal/>
    </border>
    <border>
      <left style="thin">
        <color indexed="64"/>
      </left>
      <right style="thin">
        <color indexed="64"/>
      </right>
      <top/>
      <bottom/>
      <diagonal/>
    </border>
    <border>
      <left/>
      <right/>
      <top/>
      <bottom style="double">
        <color theme="0"/>
      </bottom>
      <diagonal/>
    </border>
    <border>
      <left style="thin">
        <color indexed="64"/>
      </left>
      <right/>
      <top/>
      <bottom style="double">
        <color theme="0"/>
      </bottom>
      <diagonal/>
    </border>
    <border>
      <left/>
      <right style="thin">
        <color indexed="64"/>
      </right>
      <top/>
      <bottom style="double">
        <color theme="0"/>
      </bottom>
      <diagonal/>
    </border>
    <border>
      <left/>
      <right/>
      <top/>
      <bottom style="medium">
        <color theme="4"/>
      </bottom>
      <diagonal/>
    </border>
    <border>
      <left style="thin">
        <color theme="1"/>
      </left>
      <right style="thin">
        <color theme="1"/>
      </right>
      <top style="thin">
        <color theme="1"/>
      </top>
      <bottom style="thin">
        <color theme="1"/>
      </bottom>
      <diagonal/>
    </border>
  </borders>
  <cellStyleXfs count="10">
    <xf numFmtId="0" fontId="0" fillId="0" borderId="0"/>
    <xf numFmtId="44" fontId="4" fillId="0" borderId="0" applyFont="0" applyFill="0" applyBorder="0" applyAlignment="0" applyProtection="0"/>
    <xf numFmtId="0" fontId="5" fillId="5" borderId="0" applyNumberFormat="0" applyBorder="0" applyAlignment="0" applyProtection="0"/>
    <xf numFmtId="0" fontId="6" fillId="6" borderId="0" applyNumberFormat="0" applyBorder="0" applyAlignment="0" applyProtection="0"/>
    <xf numFmtId="0" fontId="7" fillId="7" borderId="29" applyNumberFormat="0" applyAlignment="0" applyProtection="0"/>
    <xf numFmtId="0" fontId="8" fillId="8" borderId="30" applyNumberFormat="0" applyAlignment="0" applyProtection="0"/>
    <xf numFmtId="0" fontId="9" fillId="8" borderId="29" applyNumberFormat="0" applyAlignment="0" applyProtection="0"/>
    <xf numFmtId="43" fontId="4" fillId="0" borderId="0" applyFont="0" applyFill="0" applyBorder="0" applyAlignment="0" applyProtection="0"/>
    <xf numFmtId="9" fontId="4" fillId="0" borderId="0" applyFont="0" applyFill="0" applyBorder="0" applyAlignment="0" applyProtection="0"/>
    <xf numFmtId="0" fontId="50" fillId="0" borderId="0" applyNumberFormat="0" applyFill="0" applyBorder="0" applyAlignment="0" applyProtection="0"/>
  </cellStyleXfs>
  <cellXfs count="365">
    <xf numFmtId="0" fontId="0" fillId="0" borderId="0" xfId="0"/>
    <xf numFmtId="0" fontId="0" fillId="0" borderId="1" xfId="0" applyBorder="1"/>
    <xf numFmtId="2" fontId="0" fillId="0" borderId="1" xfId="0" applyNumberFormat="1" applyBorder="1"/>
    <xf numFmtId="0" fontId="0" fillId="2" borderId="0" xfId="0" applyFill="1"/>
    <xf numFmtId="0" fontId="0" fillId="2" borderId="0" xfId="0" applyFill="1" applyBorder="1"/>
    <xf numFmtId="4" fontId="0" fillId="2" borderId="0" xfId="0" applyNumberFormat="1" applyFill="1" applyBorder="1"/>
    <xf numFmtId="0" fontId="0" fillId="0" borderId="5" xfId="0" applyBorder="1"/>
    <xf numFmtId="4" fontId="0" fillId="0" borderId="5" xfId="0" applyNumberFormat="1" applyBorder="1"/>
    <xf numFmtId="0" fontId="0" fillId="3" borderId="2" xfId="0" applyFill="1" applyBorder="1"/>
    <xf numFmtId="4" fontId="0" fillId="3" borderId="3" xfId="0" applyNumberFormat="1" applyFill="1" applyBorder="1"/>
    <xf numFmtId="0" fontId="0" fillId="0" borderId="4" xfId="0" applyBorder="1" applyAlignment="1">
      <alignment horizontal="right"/>
    </xf>
    <xf numFmtId="0" fontId="0" fillId="0" borderId="7" xfId="0" applyBorder="1"/>
    <xf numFmtId="0" fontId="0" fillId="0" borderId="8" xfId="0" applyBorder="1"/>
    <xf numFmtId="0" fontId="0" fillId="0" borderId="9" xfId="0" applyBorder="1"/>
    <xf numFmtId="0" fontId="0" fillId="0" borderId="11" xfId="0" applyBorder="1"/>
    <xf numFmtId="0" fontId="2" fillId="0" borderId="6" xfId="0" applyFont="1" applyBorder="1"/>
    <xf numFmtId="0" fontId="1" fillId="0" borderId="10" xfId="0" applyFont="1" applyBorder="1"/>
    <xf numFmtId="0" fontId="0" fillId="4" borderId="0" xfId="0" applyFill="1"/>
    <xf numFmtId="0" fontId="1" fillId="4" borderId="0" xfId="0" applyFont="1" applyFill="1"/>
    <xf numFmtId="0" fontId="1" fillId="2" borderId="0" xfId="0" applyFont="1" applyFill="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2" fontId="0" fillId="0" borderId="17" xfId="0" applyNumberFormat="1" applyBorder="1"/>
    <xf numFmtId="2" fontId="0" fillId="0" borderId="18" xfId="0" applyNumberFormat="1" applyBorder="1"/>
    <xf numFmtId="2" fontId="0" fillId="0" borderId="19" xfId="0" applyNumberFormat="1" applyBorder="1"/>
    <xf numFmtId="2" fontId="0" fillId="0" borderId="20" xfId="0" applyNumberFormat="1" applyBorder="1"/>
    <xf numFmtId="0" fontId="0" fillId="0" borderId="16" xfId="0" applyFill="1" applyBorder="1"/>
    <xf numFmtId="2" fontId="0" fillId="0" borderId="18" xfId="0" applyNumberFormat="1" applyFill="1" applyBorder="1"/>
    <xf numFmtId="0" fontId="0" fillId="0" borderId="18" xfId="0" applyFill="1" applyBorder="1"/>
    <xf numFmtId="0" fontId="0" fillId="0" borderId="20" xfId="0" applyFill="1" applyBorder="1"/>
    <xf numFmtId="0" fontId="0" fillId="0" borderId="15" xfId="0" applyBorder="1" applyAlignment="1">
      <alignment horizontal="left"/>
    </xf>
    <xf numFmtId="0" fontId="0" fillId="0" borderId="16" xfId="0" applyBorder="1" applyAlignment="1">
      <alignment horizontal="center"/>
    </xf>
    <xf numFmtId="9" fontId="0" fillId="0" borderId="17" xfId="0" applyNumberFormat="1" applyBorder="1"/>
    <xf numFmtId="9" fontId="0" fillId="0" borderId="18" xfId="0" applyNumberFormat="1" applyBorder="1"/>
    <xf numFmtId="4" fontId="0" fillId="0" borderId="20" xfId="0" applyNumberFormat="1" applyBorder="1"/>
    <xf numFmtId="0" fontId="0" fillId="0" borderId="21" xfId="0" applyBorder="1" applyAlignment="1">
      <alignment horizontal="left"/>
    </xf>
    <xf numFmtId="9" fontId="0" fillId="0" borderId="22" xfId="0" applyNumberFormat="1" applyBorder="1"/>
    <xf numFmtId="0" fontId="0" fillId="0" borderId="24" xfId="0" applyBorder="1"/>
    <xf numFmtId="9" fontId="0" fillId="0" borderId="18" xfId="0" applyNumberFormat="1" applyFill="1" applyBorder="1"/>
    <xf numFmtId="3" fontId="0" fillId="0" borderId="23" xfId="0" applyNumberFormat="1" applyBorder="1"/>
    <xf numFmtId="3" fontId="0" fillId="0" borderId="19" xfId="0" applyNumberFormat="1" applyBorder="1"/>
    <xf numFmtId="2" fontId="0" fillId="0" borderId="20" xfId="0" applyNumberFormat="1" applyFill="1" applyBorder="1"/>
    <xf numFmtId="3" fontId="0" fillId="0" borderId="1" xfId="0" applyNumberFormat="1" applyBorder="1"/>
    <xf numFmtId="165" fontId="0" fillId="0" borderId="1" xfId="0" applyNumberFormat="1" applyBorder="1"/>
    <xf numFmtId="0" fontId="0" fillId="0" borderId="1" xfId="0" applyFill="1" applyBorder="1"/>
    <xf numFmtId="2" fontId="0" fillId="0" borderId="1" xfId="0" applyNumberFormat="1" applyFill="1" applyBorder="1"/>
    <xf numFmtId="4" fontId="0" fillId="0" borderId="10" xfId="0" applyNumberFormat="1" applyBorder="1"/>
    <xf numFmtId="4" fontId="0" fillId="0" borderId="28" xfId="0" applyNumberFormat="1" applyBorder="1"/>
    <xf numFmtId="4" fontId="0" fillId="0" borderId="11" xfId="0" applyNumberFormat="1" applyBorder="1"/>
    <xf numFmtId="4" fontId="0" fillId="0" borderId="1" xfId="0" applyNumberFormat="1" applyBorder="1"/>
    <xf numFmtId="2" fontId="3" fillId="0" borderId="1" xfId="0" applyNumberFormat="1" applyFont="1" applyBorder="1"/>
    <xf numFmtId="0" fontId="30" fillId="3" borderId="0" xfId="0" applyFont="1" applyFill="1" applyProtection="1">
      <protection hidden="1"/>
    </xf>
    <xf numFmtId="0" fontId="44" fillId="3" borderId="0" xfId="0" applyFont="1" applyFill="1" applyProtection="1">
      <protection hidden="1"/>
    </xf>
    <xf numFmtId="0" fontId="22" fillId="3" borderId="0" xfId="0" applyFont="1" applyFill="1" applyProtection="1">
      <protection hidden="1"/>
    </xf>
    <xf numFmtId="0" fontId="10" fillId="3" borderId="0" xfId="0" applyFont="1" applyFill="1" applyAlignment="1" applyProtection="1">
      <alignment horizontal="center" wrapText="1"/>
      <protection hidden="1"/>
    </xf>
    <xf numFmtId="0" fontId="11" fillId="3" borderId="0" xfId="0" applyFont="1" applyFill="1" applyProtection="1">
      <protection hidden="1"/>
    </xf>
    <xf numFmtId="0" fontId="41" fillId="3" borderId="6" xfId="0" applyFont="1" applyFill="1" applyBorder="1" applyAlignment="1" applyProtection="1">
      <alignment vertical="center" wrapText="1"/>
      <protection hidden="1"/>
    </xf>
    <xf numFmtId="0" fontId="41" fillId="3" borderId="37" xfId="0" applyFont="1" applyFill="1" applyBorder="1" applyAlignment="1" applyProtection="1">
      <alignment vertical="center" wrapText="1"/>
      <protection hidden="1"/>
    </xf>
    <xf numFmtId="0" fontId="10" fillId="3" borderId="37" xfId="0" applyFont="1" applyFill="1" applyBorder="1" applyAlignment="1" applyProtection="1">
      <alignment horizontal="center" wrapText="1"/>
      <protection hidden="1"/>
    </xf>
    <xf numFmtId="0" fontId="10" fillId="3" borderId="8" xfId="0" applyFont="1" applyFill="1" applyBorder="1" applyAlignment="1" applyProtection="1">
      <alignment wrapText="1"/>
      <protection hidden="1"/>
    </xf>
    <xf numFmtId="0" fontId="39" fillId="3" borderId="0" xfId="0" applyFont="1" applyFill="1" applyBorder="1" applyAlignment="1" applyProtection="1">
      <alignment vertical="center"/>
      <protection hidden="1"/>
    </xf>
    <xf numFmtId="0" fontId="10" fillId="3" borderId="0" xfId="0" applyFont="1" applyFill="1" applyBorder="1" applyAlignment="1" applyProtection="1">
      <alignment horizontal="center" wrapText="1"/>
      <protection hidden="1"/>
    </xf>
    <xf numFmtId="0" fontId="11" fillId="3" borderId="0" xfId="0" applyFont="1" applyFill="1" applyBorder="1" applyProtection="1">
      <protection hidden="1"/>
    </xf>
    <xf numFmtId="0" fontId="10" fillId="3" borderId="9" xfId="0" applyFont="1" applyFill="1" applyBorder="1" applyAlignment="1" applyProtection="1">
      <alignment horizontal="center" wrapText="1"/>
      <protection hidden="1"/>
    </xf>
    <xf numFmtId="0" fontId="10" fillId="3" borderId="8" xfId="0" applyFont="1" applyFill="1" applyBorder="1" applyAlignment="1" applyProtection="1">
      <alignment horizontal="center" wrapText="1"/>
      <protection hidden="1"/>
    </xf>
    <xf numFmtId="0" fontId="12" fillId="3" borderId="0" xfId="0" applyFont="1" applyFill="1" applyProtection="1">
      <protection hidden="1"/>
    </xf>
    <xf numFmtId="0" fontId="31" fillId="3" borderId="32" xfId="0" applyFont="1" applyFill="1" applyBorder="1" applyAlignment="1" applyProtection="1">
      <alignment vertical="center"/>
      <protection hidden="1"/>
    </xf>
    <xf numFmtId="0" fontId="43" fillId="3" borderId="33" xfId="0" applyFont="1" applyFill="1" applyBorder="1" applyAlignment="1" applyProtection="1">
      <alignment vertical="center"/>
      <protection hidden="1"/>
    </xf>
    <xf numFmtId="0" fontId="28" fillId="3" borderId="0" xfId="0" applyFont="1" applyFill="1" applyAlignment="1" applyProtection="1">
      <alignment horizontal="center" vertical="center"/>
      <protection hidden="1"/>
    </xf>
    <xf numFmtId="0" fontId="29" fillId="3" borderId="0" xfId="0" applyFont="1" applyFill="1" applyAlignment="1" applyProtection="1">
      <alignment horizontal="center" vertical="center"/>
      <protection hidden="1"/>
    </xf>
    <xf numFmtId="0" fontId="32" fillId="13" borderId="34" xfId="0" applyFont="1" applyFill="1" applyBorder="1" applyAlignment="1" applyProtection="1">
      <alignment vertical="center"/>
      <protection hidden="1"/>
    </xf>
    <xf numFmtId="0" fontId="32" fillId="13" borderId="35" xfId="0" applyFont="1" applyFill="1" applyBorder="1" applyAlignment="1" applyProtection="1">
      <alignment vertical="center"/>
      <protection hidden="1"/>
    </xf>
    <xf numFmtId="0" fontId="32" fillId="13" borderId="36" xfId="0" applyFont="1" applyFill="1" applyBorder="1" applyAlignment="1" applyProtection="1">
      <alignment vertical="center"/>
      <protection hidden="1"/>
    </xf>
    <xf numFmtId="0" fontId="12" fillId="3" borderId="0" xfId="0" applyFont="1" applyFill="1" applyAlignment="1" applyProtection="1">
      <alignment horizontal="center" vertical="center" wrapText="1"/>
      <protection hidden="1"/>
    </xf>
    <xf numFmtId="0" fontId="13" fillId="15" borderId="5" xfId="0" applyFont="1" applyFill="1" applyBorder="1" applyAlignment="1" applyProtection="1">
      <alignment horizontal="center" vertical="center" wrapText="1"/>
      <protection hidden="1"/>
    </xf>
    <xf numFmtId="0" fontId="11" fillId="3" borderId="0" xfId="0" applyFont="1" applyFill="1" applyAlignment="1" applyProtection="1">
      <alignment horizontal="center" vertical="center" wrapText="1"/>
      <protection hidden="1"/>
    </xf>
    <xf numFmtId="0" fontId="11" fillId="3" borderId="1" xfId="0" applyFont="1" applyFill="1" applyBorder="1" applyProtection="1">
      <protection hidden="1"/>
    </xf>
    <xf numFmtId="44" fontId="20" fillId="3" borderId="1" xfId="1" applyFont="1" applyFill="1" applyBorder="1" applyProtection="1">
      <protection hidden="1"/>
    </xf>
    <xf numFmtId="44" fontId="11" fillId="3" borderId="0" xfId="0" applyNumberFormat="1" applyFont="1" applyFill="1" applyProtection="1">
      <protection hidden="1"/>
    </xf>
    <xf numFmtId="44" fontId="19" fillId="3" borderId="1" xfId="1" applyFont="1" applyFill="1" applyBorder="1" applyProtection="1">
      <protection hidden="1"/>
    </xf>
    <xf numFmtId="0" fontId="0" fillId="2" borderId="0" xfId="0" applyFill="1" applyProtection="1">
      <protection hidden="1"/>
    </xf>
    <xf numFmtId="0" fontId="0" fillId="0" borderId="0" xfId="0" applyBorder="1" applyProtection="1">
      <protection hidden="1"/>
    </xf>
    <xf numFmtId="0" fontId="0" fillId="0" borderId="0" xfId="0" applyProtection="1">
      <protection hidden="1"/>
    </xf>
    <xf numFmtId="0" fontId="18" fillId="12" borderId="2" xfId="0" applyFont="1" applyFill="1" applyBorder="1" applyAlignment="1" applyProtection="1">
      <alignment vertical="center"/>
      <protection hidden="1"/>
    </xf>
    <xf numFmtId="0" fontId="18" fillId="12" borderId="3" xfId="0" applyFont="1" applyFill="1" applyBorder="1" applyAlignment="1" applyProtection="1">
      <alignment vertical="center"/>
      <protection hidden="1"/>
    </xf>
    <xf numFmtId="0" fontId="18" fillId="12" borderId="4" xfId="0" applyFont="1" applyFill="1" applyBorder="1" applyAlignment="1" applyProtection="1">
      <alignment vertical="center"/>
      <protection hidden="1"/>
    </xf>
    <xf numFmtId="0" fontId="33" fillId="12" borderId="1" xfId="0" applyFont="1" applyFill="1" applyBorder="1" applyAlignment="1" applyProtection="1">
      <alignment horizontal="center" vertical="center"/>
      <protection hidden="1"/>
    </xf>
    <xf numFmtId="168" fontId="11" fillId="3" borderId="0" xfId="0" applyNumberFormat="1" applyFont="1" applyFill="1" applyProtection="1">
      <protection hidden="1"/>
    </xf>
    <xf numFmtId="0" fontId="18" fillId="16" borderId="34" xfId="0" applyFont="1" applyFill="1" applyBorder="1" applyAlignment="1" applyProtection="1">
      <alignment vertical="center"/>
      <protection hidden="1"/>
    </xf>
    <xf numFmtId="0" fontId="18" fillId="16" borderId="35" xfId="0" applyFont="1" applyFill="1" applyBorder="1" applyAlignment="1" applyProtection="1">
      <alignment vertical="center"/>
      <protection hidden="1"/>
    </xf>
    <xf numFmtId="0" fontId="18" fillId="16" borderId="36" xfId="0" applyFont="1" applyFill="1" applyBorder="1" applyAlignment="1" applyProtection="1">
      <alignment vertical="center"/>
      <protection hidden="1"/>
    </xf>
    <xf numFmtId="168" fontId="33" fillId="16" borderId="4" xfId="0" applyNumberFormat="1" applyFont="1" applyFill="1" applyBorder="1" applyAlignment="1" applyProtection="1">
      <alignment horizontal="center" vertical="center"/>
      <protection hidden="1"/>
    </xf>
    <xf numFmtId="0" fontId="34" fillId="10" borderId="2" xfId="0" applyFont="1" applyFill="1" applyBorder="1" applyAlignment="1" applyProtection="1">
      <alignment vertical="center"/>
      <protection hidden="1"/>
    </xf>
    <xf numFmtId="0" fontId="34" fillId="10" borderId="3" xfId="0" applyFont="1" applyFill="1" applyBorder="1" applyAlignment="1" applyProtection="1">
      <alignment vertical="center"/>
      <protection hidden="1"/>
    </xf>
    <xf numFmtId="0" fontId="34" fillId="10" borderId="4" xfId="0" applyFont="1" applyFill="1" applyBorder="1" applyAlignment="1" applyProtection="1">
      <alignment vertical="center"/>
      <protection hidden="1"/>
    </xf>
    <xf numFmtId="0" fontId="13" fillId="3" borderId="0" xfId="0" applyFont="1" applyFill="1" applyBorder="1" applyProtection="1">
      <protection hidden="1"/>
    </xf>
    <xf numFmtId="164" fontId="11" fillId="3" borderId="0" xfId="0" applyNumberFormat="1" applyFont="1" applyFill="1" applyProtection="1">
      <protection hidden="1"/>
    </xf>
    <xf numFmtId="0" fontId="44" fillId="3" borderId="0" xfId="0" applyFont="1" applyFill="1" applyAlignment="1" applyProtection="1">
      <alignment vertical="top"/>
      <protection hidden="1"/>
    </xf>
    <xf numFmtId="0" fontId="21" fillId="12" borderId="1" xfId="0" applyFont="1" applyFill="1" applyBorder="1" applyAlignment="1" applyProtection="1">
      <alignment horizontal="center" vertical="center" wrapText="1"/>
      <protection hidden="1"/>
    </xf>
    <xf numFmtId="0" fontId="21" fillId="12" borderId="1" xfId="0" applyFont="1" applyFill="1" applyBorder="1" applyAlignment="1" applyProtection="1">
      <alignment horizontal="center" vertical="center"/>
      <protection hidden="1"/>
    </xf>
    <xf numFmtId="43" fontId="20" fillId="14" borderId="1" xfId="7" applyFont="1" applyFill="1" applyBorder="1" applyProtection="1">
      <protection hidden="1"/>
    </xf>
    <xf numFmtId="44" fontId="20" fillId="14" borderId="1" xfId="0" applyNumberFormat="1" applyFont="1" applyFill="1" applyBorder="1" applyProtection="1">
      <protection hidden="1"/>
    </xf>
    <xf numFmtId="44" fontId="19" fillId="3" borderId="0" xfId="1" applyFont="1" applyFill="1" applyBorder="1" applyProtection="1">
      <protection hidden="1"/>
    </xf>
    <xf numFmtId="44" fontId="11" fillId="3" borderId="0" xfId="1" applyFont="1" applyFill="1" applyBorder="1" applyProtection="1">
      <protection hidden="1"/>
    </xf>
    <xf numFmtId="0" fontId="20" fillId="14" borderId="1" xfId="0" applyFont="1" applyFill="1" applyBorder="1" applyProtection="1">
      <protection hidden="1"/>
    </xf>
    <xf numFmtId="44" fontId="19" fillId="3" borderId="0" xfId="0" applyNumberFormat="1" applyFont="1" applyFill="1" applyBorder="1" applyProtection="1">
      <protection hidden="1"/>
    </xf>
    <xf numFmtId="2" fontId="20" fillId="14" borderId="1" xfId="0" applyNumberFormat="1" applyFont="1" applyFill="1" applyBorder="1" applyProtection="1">
      <protection hidden="1"/>
    </xf>
    <xf numFmtId="0" fontId="25" fillId="3" borderId="0" xfId="0" applyFont="1" applyFill="1" applyProtection="1">
      <protection hidden="1"/>
    </xf>
    <xf numFmtId="0" fontId="19" fillId="3" borderId="0" xfId="0" applyFont="1" applyFill="1" applyProtection="1">
      <protection hidden="1"/>
    </xf>
    <xf numFmtId="0" fontId="26" fillId="10" borderId="1" xfId="0" applyFont="1" applyFill="1" applyBorder="1" applyAlignment="1" applyProtection="1">
      <alignment horizontal="center" vertical="center"/>
      <protection hidden="1"/>
    </xf>
    <xf numFmtId="0" fontId="23" fillId="3" borderId="1" xfId="0" applyFont="1" applyFill="1" applyBorder="1" applyAlignment="1" applyProtection="1">
      <alignment horizontal="left" vertical="top" wrapText="1"/>
      <protection hidden="1"/>
    </xf>
    <xf numFmtId="0" fontId="23" fillId="3" borderId="0" xfId="0" applyFont="1" applyFill="1" applyAlignment="1" applyProtection="1">
      <alignment vertical="top" wrapText="1"/>
      <protection hidden="1"/>
    </xf>
    <xf numFmtId="0" fontId="11" fillId="3" borderId="0" xfId="0" applyFont="1" applyFill="1" applyAlignment="1" applyProtection="1">
      <alignment vertical="top" wrapText="1"/>
      <protection hidden="1"/>
    </xf>
    <xf numFmtId="0" fontId="13" fillId="3" borderId="0" xfId="0" applyFont="1" applyFill="1" applyBorder="1" applyAlignment="1" applyProtection="1">
      <alignment horizontal="left" vertical="center"/>
      <protection hidden="1"/>
    </xf>
    <xf numFmtId="0" fontId="14" fillId="3" borderId="0" xfId="0" applyFont="1" applyFill="1" applyBorder="1" applyAlignment="1" applyProtection="1">
      <alignment horizontal="center"/>
      <protection hidden="1"/>
    </xf>
    <xf numFmtId="0" fontId="22" fillId="3" borderId="0" xfId="0" applyFont="1" applyFill="1"/>
    <xf numFmtId="0" fontId="11" fillId="3" borderId="0" xfId="0" applyFont="1" applyFill="1"/>
    <xf numFmtId="0" fontId="0" fillId="3" borderId="0" xfId="0" applyFill="1"/>
    <xf numFmtId="0" fontId="21" fillId="12" borderId="31" xfId="0" applyFont="1" applyFill="1" applyBorder="1" applyAlignment="1">
      <alignment horizontal="center" vertical="center" wrapText="1"/>
    </xf>
    <xf numFmtId="168" fontId="11" fillId="3" borderId="0" xfId="0" applyNumberFormat="1" applyFont="1" applyFill="1"/>
    <xf numFmtId="172" fontId="11" fillId="3" borderId="0" xfId="0" applyNumberFormat="1" applyFont="1" applyFill="1"/>
    <xf numFmtId="0" fontId="23" fillId="3" borderId="0" xfId="0" applyFont="1" applyFill="1" applyBorder="1" applyAlignment="1">
      <alignment vertical="center"/>
    </xf>
    <xf numFmtId="0" fontId="23" fillId="3" borderId="0" xfId="0" applyFont="1" applyFill="1" applyBorder="1"/>
    <xf numFmtId="0" fontId="11" fillId="3" borderId="0" xfId="0" applyFont="1" applyFill="1" applyBorder="1"/>
    <xf numFmtId="44" fontId="23" fillId="3" borderId="0" xfId="1" applyFont="1" applyFill="1" applyBorder="1"/>
    <xf numFmtId="1" fontId="23" fillId="3" borderId="0" xfId="0" applyNumberFormat="1" applyFont="1" applyFill="1" applyBorder="1"/>
    <xf numFmtId="0" fontId="27" fillId="3" borderId="0" xfId="0" applyFont="1" applyFill="1" applyBorder="1" applyAlignment="1"/>
    <xf numFmtId="168" fontId="23" fillId="3" borderId="0" xfId="0" applyNumberFormat="1" applyFont="1" applyFill="1" applyBorder="1"/>
    <xf numFmtId="0" fontId="23" fillId="3" borderId="0" xfId="0" applyFont="1" applyFill="1" applyBorder="1" applyAlignment="1">
      <alignment vertical="center" wrapText="1"/>
    </xf>
    <xf numFmtId="0" fontId="21" fillId="12" borderId="31" xfId="0" applyFont="1" applyFill="1" applyBorder="1" applyAlignment="1">
      <alignment horizontal="center" vertical="center"/>
    </xf>
    <xf numFmtId="0" fontId="21" fillId="10" borderId="31" xfId="0" applyFont="1" applyFill="1" applyBorder="1" applyAlignment="1">
      <alignment horizontal="center" vertical="center" wrapText="1"/>
    </xf>
    <xf numFmtId="0" fontId="46" fillId="3" borderId="1" xfId="0" applyFont="1" applyFill="1" applyBorder="1"/>
    <xf numFmtId="44" fontId="46" fillId="3" borderId="1" xfId="1" applyFont="1" applyFill="1" applyBorder="1"/>
    <xf numFmtId="173" fontId="46" fillId="3" borderId="1" xfId="1" applyNumberFormat="1" applyFont="1" applyFill="1" applyBorder="1"/>
    <xf numFmtId="0" fontId="47" fillId="3" borderId="1" xfId="0" applyFont="1" applyFill="1" applyBorder="1" applyAlignment="1"/>
    <xf numFmtId="168" fontId="46" fillId="3" borderId="1" xfId="0" applyNumberFormat="1" applyFont="1" applyFill="1" applyBorder="1"/>
    <xf numFmtId="0" fontId="46" fillId="15" borderId="1" xfId="0" applyFont="1" applyFill="1" applyBorder="1" applyAlignment="1">
      <alignment vertical="center"/>
    </xf>
    <xf numFmtId="1" fontId="46" fillId="15" borderId="1" xfId="0" applyNumberFormat="1" applyFont="1" applyFill="1" applyBorder="1"/>
    <xf numFmtId="0" fontId="47" fillId="15" borderId="1" xfId="0" applyFont="1" applyFill="1" applyBorder="1" applyAlignment="1"/>
    <xf numFmtId="1" fontId="46" fillId="15" borderId="1" xfId="0" applyNumberFormat="1" applyFont="1" applyFill="1" applyBorder="1" applyAlignment="1">
      <alignment wrapText="1"/>
    </xf>
    <xf numFmtId="0" fontId="46" fillId="15" borderId="31" xfId="0" applyFont="1" applyFill="1" applyBorder="1" applyAlignment="1">
      <alignment horizontal="left" vertical="center"/>
    </xf>
    <xf numFmtId="0" fontId="46" fillId="15" borderId="38" xfId="0" applyFont="1" applyFill="1" applyBorder="1" applyAlignment="1">
      <alignment horizontal="left" vertical="center"/>
    </xf>
    <xf numFmtId="0" fontId="46" fillId="15" borderId="31" xfId="0" applyFont="1" applyFill="1" applyBorder="1" applyAlignment="1">
      <alignment vertical="center"/>
    </xf>
    <xf numFmtId="0" fontId="47" fillId="15" borderId="1" xfId="0" applyFont="1" applyFill="1" applyBorder="1" applyAlignment="1">
      <alignment vertical="center"/>
    </xf>
    <xf numFmtId="0" fontId="47" fillId="9" borderId="1" xfId="0" applyFont="1" applyFill="1" applyBorder="1" applyAlignment="1">
      <alignment vertical="center"/>
    </xf>
    <xf numFmtId="15" fontId="46" fillId="15" borderId="31" xfId="0" applyNumberFormat="1" applyFont="1" applyFill="1" applyBorder="1" applyAlignment="1">
      <alignment horizontal="left" vertical="center"/>
    </xf>
    <xf numFmtId="173" fontId="46" fillId="0" borderId="1" xfId="1" applyNumberFormat="1" applyFont="1" applyBorder="1"/>
    <xf numFmtId="44" fontId="46" fillId="0" borderId="1" xfId="1" applyFont="1" applyBorder="1"/>
    <xf numFmtId="173" fontId="46" fillId="3" borderId="1" xfId="1" applyNumberFormat="1" applyFont="1" applyFill="1" applyBorder="1" applyAlignment="1">
      <alignment vertical="center"/>
    </xf>
    <xf numFmtId="173" fontId="46" fillId="0" borderId="1" xfId="1" applyNumberFormat="1" applyFont="1" applyBorder="1" applyAlignment="1">
      <alignment vertical="center"/>
    </xf>
    <xf numFmtId="1" fontId="46" fillId="15" borderId="1" xfId="0" applyNumberFormat="1" applyFont="1" applyFill="1" applyBorder="1" applyAlignment="1">
      <alignment vertical="center"/>
    </xf>
    <xf numFmtId="1" fontId="46" fillId="15" borderId="1" xfId="0" applyNumberFormat="1" applyFont="1" applyFill="1" applyBorder="1" applyAlignment="1">
      <alignment vertical="center" wrapText="1"/>
    </xf>
    <xf numFmtId="0" fontId="46" fillId="15" borderId="1" xfId="0" applyFont="1" applyFill="1" applyBorder="1" applyAlignment="1">
      <alignment horizontal="left" vertical="center"/>
    </xf>
    <xf numFmtId="0" fontId="13" fillId="3" borderId="1" xfId="0" applyFont="1" applyFill="1" applyBorder="1" applyProtection="1">
      <protection hidden="1"/>
    </xf>
    <xf numFmtId="44" fontId="15" fillId="3" borderId="1" xfId="1" applyFont="1" applyFill="1" applyBorder="1" applyProtection="1">
      <protection hidden="1"/>
    </xf>
    <xf numFmtId="44" fontId="19" fillId="3" borderId="1" xfId="0" applyNumberFormat="1" applyFont="1" applyFill="1" applyBorder="1" applyProtection="1">
      <protection hidden="1"/>
    </xf>
    <xf numFmtId="0" fontId="16" fillId="11" borderId="7" xfId="4" applyFont="1" applyFill="1" applyBorder="1" applyAlignment="1" applyProtection="1">
      <alignment horizontal="center" vertical="center"/>
      <protection hidden="1"/>
    </xf>
    <xf numFmtId="169" fontId="40" fillId="11" borderId="0" xfId="7" applyNumberFormat="1" applyFont="1" applyFill="1" applyBorder="1" applyAlignment="1" applyProtection="1">
      <alignment vertical="center"/>
      <protection locked="0"/>
    </xf>
    <xf numFmtId="9" fontId="40" fillId="11" borderId="0" xfId="8" applyNumberFormat="1" applyFont="1" applyFill="1" applyBorder="1" applyAlignment="1" applyProtection="1">
      <alignment vertical="center"/>
      <protection locked="0"/>
    </xf>
    <xf numFmtId="169" fontId="40" fillId="0" borderId="0" xfId="7" applyNumberFormat="1" applyFont="1" applyFill="1" applyBorder="1" applyAlignment="1" applyProtection="1">
      <alignment vertical="center"/>
      <protection hidden="1"/>
    </xf>
    <xf numFmtId="169" fontId="16" fillId="11" borderId="0" xfId="7" applyNumberFormat="1" applyFont="1" applyFill="1" applyBorder="1" applyAlignment="1" applyProtection="1">
      <alignment vertical="center"/>
      <protection locked="0"/>
    </xf>
    <xf numFmtId="9" fontId="16" fillId="11" borderId="0" xfId="4" applyNumberFormat="1" applyFont="1" applyFill="1" applyBorder="1" applyAlignment="1" applyProtection="1">
      <alignment vertical="center"/>
      <protection locked="0"/>
    </xf>
    <xf numFmtId="0" fontId="42" fillId="3" borderId="0" xfId="0" applyFont="1" applyFill="1" applyAlignment="1" applyProtection="1">
      <alignment vertical="center"/>
      <protection hidden="1"/>
    </xf>
    <xf numFmtId="1" fontId="46" fillId="15" borderId="1" xfId="0" applyNumberFormat="1" applyFont="1" applyFill="1" applyBorder="1" applyAlignment="1">
      <alignment horizontal="left" vertical="center"/>
    </xf>
    <xf numFmtId="0" fontId="46" fillId="15" borderId="1" xfId="0" applyFont="1" applyFill="1" applyBorder="1"/>
    <xf numFmtId="0" fontId="46" fillId="15" borderId="1" xfId="0" applyFont="1" applyFill="1" applyBorder="1" applyAlignment="1">
      <alignment horizontal="left"/>
    </xf>
    <xf numFmtId="1" fontId="46" fillId="15" borderId="1" xfId="0" applyNumberFormat="1" applyFont="1" applyFill="1" applyBorder="1" applyAlignment="1">
      <alignment horizontal="left"/>
    </xf>
    <xf numFmtId="168" fontId="46" fillId="0" borderId="1" xfId="1" applyNumberFormat="1" applyFont="1" applyBorder="1"/>
    <xf numFmtId="168" fontId="46" fillId="0" borderId="1" xfId="1" applyNumberFormat="1" applyFont="1" applyBorder="1" applyAlignment="1">
      <alignment wrapText="1"/>
    </xf>
    <xf numFmtId="173" fontId="47" fillId="3" borderId="1" xfId="1" applyNumberFormat="1" applyFont="1" applyFill="1" applyBorder="1" applyAlignment="1">
      <alignment vertical="center"/>
    </xf>
    <xf numFmtId="173" fontId="46" fillId="3" borderId="1" xfId="1" applyNumberFormat="1" applyFont="1" applyFill="1" applyBorder="1" applyAlignment="1">
      <alignment vertical="center" wrapText="1"/>
    </xf>
    <xf numFmtId="173" fontId="47" fillId="3" borderId="1" xfId="1" applyNumberFormat="1" applyFont="1" applyFill="1" applyBorder="1" applyAlignment="1"/>
    <xf numFmtId="173" fontId="46" fillId="3" borderId="1" xfId="1" applyNumberFormat="1" applyFont="1" applyFill="1" applyBorder="1" applyAlignment="1">
      <alignment wrapText="1"/>
    </xf>
    <xf numFmtId="173" fontId="46" fillId="0" borderId="1" xfId="1" applyNumberFormat="1" applyFont="1" applyBorder="1" applyAlignment="1">
      <alignment wrapText="1"/>
    </xf>
    <xf numFmtId="173" fontId="46" fillId="0" borderId="1" xfId="1" applyNumberFormat="1" applyFont="1" applyBorder="1" applyAlignment="1">
      <alignment vertical="center" wrapText="1"/>
    </xf>
    <xf numFmtId="1" fontId="47" fillId="9" borderId="1" xfId="0" applyNumberFormat="1" applyFont="1" applyFill="1" applyBorder="1" applyAlignment="1">
      <alignment vertical="center" wrapText="1"/>
    </xf>
    <xf numFmtId="1" fontId="47" fillId="9" borderId="1" xfId="0" applyNumberFormat="1" applyFont="1" applyFill="1" applyBorder="1" applyAlignment="1">
      <alignment vertical="center"/>
    </xf>
    <xf numFmtId="173" fontId="47" fillId="9" borderId="1" xfId="1" applyNumberFormat="1" applyFont="1" applyFill="1" applyBorder="1" applyAlignment="1">
      <alignment vertical="center" wrapText="1"/>
    </xf>
    <xf numFmtId="0" fontId="21" fillId="12" borderId="1" xfId="0" applyFont="1" applyFill="1" applyBorder="1" applyAlignment="1">
      <alignment horizontal="left" vertical="center" wrapText="1"/>
    </xf>
    <xf numFmtId="0" fontId="21" fillId="12" borderId="1" xfId="0" applyFont="1" applyFill="1" applyBorder="1" applyAlignment="1">
      <alignment horizontal="center" vertical="center"/>
    </xf>
    <xf numFmtId="173" fontId="46" fillId="20" borderId="1" xfId="1" applyNumberFormat="1" applyFont="1" applyFill="1" applyBorder="1" applyAlignment="1">
      <alignment vertical="center"/>
    </xf>
    <xf numFmtId="44" fontId="11" fillId="3" borderId="1" xfId="1" applyFont="1" applyFill="1" applyBorder="1" applyProtection="1">
      <protection hidden="1"/>
    </xf>
    <xf numFmtId="0" fontId="11" fillId="3" borderId="0" xfId="0" applyFont="1" applyFill="1" applyAlignment="1">
      <alignment vertical="center"/>
    </xf>
    <xf numFmtId="0" fontId="11" fillId="3" borderId="8" xfId="0" applyFont="1" applyFill="1" applyBorder="1"/>
    <xf numFmtId="0" fontId="11" fillId="3" borderId="9" xfId="0" applyFont="1" applyFill="1" applyBorder="1"/>
    <xf numFmtId="0" fontId="11" fillId="3" borderId="11" xfId="0" applyFont="1" applyFill="1" applyBorder="1"/>
    <xf numFmtId="0" fontId="33" fillId="12" borderId="6" xfId="0" applyFont="1" applyFill="1" applyBorder="1"/>
    <xf numFmtId="0" fontId="0" fillId="11" borderId="0" xfId="0" applyFill="1" applyAlignment="1">
      <alignment horizontal="center"/>
    </xf>
    <xf numFmtId="0" fontId="48" fillId="3" borderId="0" xfId="0" applyFont="1" applyFill="1" applyAlignment="1">
      <alignment horizontal="center"/>
    </xf>
    <xf numFmtId="0" fontId="0" fillId="10" borderId="0" xfId="0" applyFill="1"/>
    <xf numFmtId="0" fontId="11" fillId="0" borderId="7" xfId="0" applyFont="1" applyFill="1" applyBorder="1"/>
    <xf numFmtId="0" fontId="11" fillId="0" borderId="10" xfId="0" applyFont="1" applyFill="1" applyBorder="1"/>
    <xf numFmtId="171" fontId="0" fillId="3" borderId="0" xfId="0" applyNumberFormat="1" applyFill="1"/>
    <xf numFmtId="170" fontId="13" fillId="3" borderId="0" xfId="1" applyNumberFormat="1" applyFont="1" applyFill="1" applyBorder="1" applyAlignment="1" applyProtection="1">
      <alignment horizontal="center" vertical="center" wrapText="1"/>
      <protection hidden="1"/>
    </xf>
    <xf numFmtId="0" fontId="11" fillId="3" borderId="39" xfId="0" applyFont="1" applyFill="1" applyBorder="1" applyProtection="1">
      <protection hidden="1"/>
    </xf>
    <xf numFmtId="0" fontId="13" fillId="3" borderId="39" xfId="0" applyFont="1" applyFill="1" applyBorder="1" applyAlignment="1" applyProtection="1">
      <alignment horizontal="left" vertical="center"/>
      <protection hidden="1"/>
    </xf>
    <xf numFmtId="0" fontId="10" fillId="3" borderId="39" xfId="0" applyFont="1" applyFill="1" applyBorder="1" applyAlignment="1" applyProtection="1">
      <alignment horizontal="center" wrapText="1"/>
      <protection hidden="1"/>
    </xf>
    <xf numFmtId="0" fontId="10" fillId="3" borderId="40" xfId="0" applyFont="1" applyFill="1" applyBorder="1" applyAlignment="1" applyProtection="1">
      <alignment horizontal="center" wrapText="1"/>
      <protection hidden="1"/>
    </xf>
    <xf numFmtId="0" fontId="10" fillId="3" borderId="41" xfId="0" applyFont="1" applyFill="1" applyBorder="1" applyAlignment="1" applyProtection="1">
      <alignment horizontal="center" wrapText="1"/>
      <protection hidden="1"/>
    </xf>
    <xf numFmtId="0" fontId="13" fillId="3" borderId="10" xfId="0" applyFont="1" applyFill="1" applyBorder="1" applyProtection="1">
      <protection hidden="1"/>
    </xf>
    <xf numFmtId="0" fontId="11" fillId="3" borderId="28" xfId="0" applyFont="1" applyFill="1" applyBorder="1" applyProtection="1">
      <protection hidden="1"/>
    </xf>
    <xf numFmtId="0" fontId="11" fillId="3" borderId="11" xfId="0" applyFont="1" applyFill="1" applyBorder="1" applyProtection="1">
      <protection hidden="1"/>
    </xf>
    <xf numFmtId="0" fontId="44" fillId="3" borderId="0" xfId="0" applyFont="1" applyFill="1" applyAlignment="1" applyProtection="1">
      <alignment vertical="center"/>
      <protection hidden="1"/>
    </xf>
    <xf numFmtId="173" fontId="46" fillId="0" borderId="0" xfId="1" applyNumberFormat="1" applyFont="1"/>
    <xf numFmtId="173" fontId="49" fillId="3" borderId="1" xfId="1" applyNumberFormat="1" applyFont="1" applyFill="1" applyBorder="1" applyAlignment="1">
      <alignment vertical="center"/>
    </xf>
    <xf numFmtId="0" fontId="37" fillId="3" borderId="0" xfId="0" applyFont="1" applyFill="1" applyAlignment="1" applyProtection="1">
      <alignment vertical="center"/>
      <protection hidden="1"/>
    </xf>
    <xf numFmtId="0" fontId="37" fillId="0" borderId="0" xfId="0" applyFont="1" applyAlignment="1" applyProtection="1">
      <alignment vertical="center"/>
      <protection hidden="1"/>
    </xf>
    <xf numFmtId="14" fontId="21" fillId="12" borderId="31" xfId="0" applyNumberFormat="1" applyFont="1" applyFill="1" applyBorder="1" applyAlignment="1">
      <alignment horizontal="center" vertical="center" wrapText="1"/>
    </xf>
    <xf numFmtId="14" fontId="21" fillId="10" borderId="31" xfId="0" applyNumberFormat="1" applyFont="1" applyFill="1" applyBorder="1" applyAlignment="1">
      <alignment horizontal="center" vertical="center" wrapText="1"/>
    </xf>
    <xf numFmtId="1" fontId="46" fillId="15" borderId="4" xfId="0" applyNumberFormat="1" applyFont="1" applyFill="1" applyBorder="1" applyAlignment="1">
      <alignment vertical="center"/>
    </xf>
    <xf numFmtId="0" fontId="46" fillId="15" borderId="5" xfId="0" applyFont="1" applyFill="1" applyBorder="1" applyAlignment="1">
      <alignment vertical="center"/>
    </xf>
    <xf numFmtId="3" fontId="12" fillId="3" borderId="0" xfId="0" applyNumberFormat="1" applyFont="1" applyFill="1" applyProtection="1">
      <protection hidden="1"/>
    </xf>
    <xf numFmtId="168" fontId="12" fillId="3" borderId="0" xfId="0" applyNumberFormat="1" applyFont="1" applyFill="1" applyProtection="1">
      <protection hidden="1"/>
    </xf>
    <xf numFmtId="0" fontId="54" fillId="3" borderId="0" xfId="0" applyFont="1" applyFill="1" applyAlignment="1" applyProtection="1">
      <alignment horizontal="center" wrapText="1"/>
      <protection hidden="1"/>
    </xf>
    <xf numFmtId="10" fontId="12" fillId="3" borderId="0" xfId="8" applyNumberFormat="1" applyFont="1" applyFill="1" applyProtection="1">
      <protection hidden="1"/>
    </xf>
    <xf numFmtId="0" fontId="11" fillId="3" borderId="1" xfId="0" applyFont="1" applyFill="1" applyBorder="1" applyAlignment="1" applyProtection="1">
      <alignment vertical="center"/>
      <protection hidden="1"/>
    </xf>
    <xf numFmtId="44" fontId="20" fillId="3" borderId="1" xfId="1" applyFont="1" applyFill="1" applyBorder="1" applyAlignment="1" applyProtection="1">
      <alignment vertical="center"/>
      <protection hidden="1"/>
    </xf>
    <xf numFmtId="44" fontId="19" fillId="3" borderId="1" xfId="1" applyFont="1" applyFill="1" applyBorder="1" applyAlignment="1" applyProtection="1">
      <alignment vertical="center"/>
      <protection hidden="1"/>
    </xf>
    <xf numFmtId="0" fontId="39" fillId="3" borderId="1" xfId="0" applyFont="1" applyFill="1" applyBorder="1" applyAlignment="1" applyProtection="1">
      <alignment vertical="center"/>
      <protection hidden="1"/>
    </xf>
    <xf numFmtId="171" fontId="16" fillId="11" borderId="1" xfId="5" applyNumberFormat="1" applyFont="1" applyFill="1" applyBorder="1" applyAlignment="1" applyProtection="1">
      <alignment vertical="center"/>
      <protection locked="0"/>
    </xf>
    <xf numFmtId="0" fontId="11" fillId="3" borderId="0" xfId="0" applyFont="1" applyFill="1" applyAlignment="1" applyProtection="1">
      <alignment vertical="center"/>
      <protection hidden="1"/>
    </xf>
    <xf numFmtId="0" fontId="20" fillId="3" borderId="0" xfId="0" applyFont="1" applyFill="1" applyAlignment="1" applyProtection="1">
      <alignment vertical="center"/>
      <protection hidden="1"/>
    </xf>
    <xf numFmtId="167" fontId="16" fillId="11" borderId="1" xfId="5" applyNumberFormat="1" applyFont="1" applyFill="1" applyBorder="1" applyAlignment="1" applyProtection="1">
      <alignment vertical="center"/>
      <protection locked="0"/>
    </xf>
    <xf numFmtId="171" fontId="20" fillId="3" borderId="1" xfId="6" applyNumberFormat="1" applyFont="1" applyFill="1" applyBorder="1" applyAlignment="1" applyProtection="1">
      <alignment vertical="center"/>
      <protection hidden="1"/>
    </xf>
    <xf numFmtId="169" fontId="20" fillId="3" borderId="1" xfId="7" applyNumberFormat="1" applyFont="1" applyFill="1" applyBorder="1" applyAlignment="1" applyProtection="1">
      <alignment vertical="center"/>
      <protection hidden="1"/>
    </xf>
    <xf numFmtId="0" fontId="34" fillId="17" borderId="2" xfId="0" applyFont="1" applyFill="1" applyBorder="1" applyAlignment="1" applyProtection="1">
      <alignment horizontal="left" vertical="center"/>
      <protection hidden="1"/>
    </xf>
    <xf numFmtId="0" fontId="34" fillId="17" borderId="3" xfId="0" applyFont="1" applyFill="1" applyBorder="1" applyAlignment="1" applyProtection="1">
      <alignment horizontal="left" vertical="center"/>
      <protection hidden="1"/>
    </xf>
    <xf numFmtId="0" fontId="34" fillId="17" borderId="4" xfId="0" applyFont="1" applyFill="1" applyBorder="1" applyAlignment="1" applyProtection="1">
      <alignment horizontal="left" vertical="center"/>
      <protection hidden="1"/>
    </xf>
    <xf numFmtId="168" fontId="34" fillId="0" borderId="1" xfId="1" applyNumberFormat="1" applyFont="1" applyFill="1" applyBorder="1" applyAlignment="1" applyProtection="1">
      <alignment horizontal="center" vertical="center"/>
      <protection hidden="1"/>
    </xf>
    <xf numFmtId="0" fontId="34" fillId="17" borderId="10" xfId="0" applyFont="1" applyFill="1" applyBorder="1" applyAlignment="1" applyProtection="1">
      <alignment vertical="center"/>
      <protection hidden="1"/>
    </xf>
    <xf numFmtId="0" fontId="34" fillId="17" borderId="28" xfId="0" applyFont="1" applyFill="1" applyBorder="1" applyAlignment="1" applyProtection="1">
      <alignment vertical="center"/>
      <protection hidden="1"/>
    </xf>
    <xf numFmtId="0" fontId="34" fillId="17" borderId="11" xfId="0" applyFont="1" applyFill="1" applyBorder="1" applyAlignment="1" applyProtection="1">
      <alignment vertical="center"/>
      <protection hidden="1"/>
    </xf>
    <xf numFmtId="168" fontId="34" fillId="0" borderId="5" xfId="1" applyNumberFormat="1" applyFont="1" applyFill="1" applyBorder="1" applyAlignment="1" applyProtection="1">
      <alignment horizontal="center" vertical="center"/>
      <protection hidden="1"/>
    </xf>
    <xf numFmtId="0" fontId="55" fillId="18" borderId="2" xfId="0" applyFont="1" applyFill="1" applyBorder="1" applyAlignment="1" applyProtection="1">
      <alignment vertical="center"/>
      <protection hidden="1"/>
    </xf>
    <xf numFmtId="0" fontId="55" fillId="18" borderId="3" xfId="0" applyFont="1" applyFill="1" applyBorder="1" applyAlignment="1" applyProtection="1">
      <alignment vertical="center"/>
      <protection hidden="1"/>
    </xf>
    <xf numFmtId="168" fontId="55" fillId="18" borderId="1" xfId="1" applyNumberFormat="1" applyFont="1" applyFill="1" applyBorder="1" applyAlignment="1" applyProtection="1">
      <alignment horizontal="center" vertical="center"/>
      <protection hidden="1"/>
    </xf>
    <xf numFmtId="0" fontId="11" fillId="3" borderId="10" xfId="0" applyFont="1" applyFill="1" applyBorder="1" applyAlignment="1" applyProtection="1">
      <alignment vertical="center"/>
      <protection hidden="1"/>
    </xf>
    <xf numFmtId="44" fontId="20" fillId="3" borderId="1" xfId="6" applyNumberFormat="1" applyFont="1" applyFill="1" applyBorder="1" applyAlignment="1" applyProtection="1">
      <alignment vertical="center"/>
      <protection hidden="1"/>
    </xf>
    <xf numFmtId="168" fontId="35" fillId="3" borderId="1" xfId="3" applyNumberFormat="1" applyFont="1" applyFill="1" applyBorder="1" applyAlignment="1" applyProtection="1">
      <alignment vertical="center"/>
      <protection hidden="1"/>
    </xf>
    <xf numFmtId="3" fontId="20" fillId="3" borderId="1" xfId="6" applyNumberFormat="1" applyFont="1" applyFill="1" applyBorder="1" applyAlignment="1" applyProtection="1">
      <alignment vertical="center"/>
      <protection hidden="1"/>
    </xf>
    <xf numFmtId="44" fontId="20" fillId="3" borderId="1" xfId="5" applyNumberFormat="1" applyFont="1" applyFill="1" applyBorder="1" applyAlignment="1" applyProtection="1">
      <alignment vertical="center"/>
      <protection hidden="1"/>
    </xf>
    <xf numFmtId="168" fontId="36" fillId="3" borderId="1" xfId="2" applyNumberFormat="1" applyFont="1" applyFill="1" applyBorder="1" applyAlignment="1" applyProtection="1">
      <alignment vertical="center"/>
      <protection hidden="1"/>
    </xf>
    <xf numFmtId="0" fontId="11" fillId="3" borderId="2" xfId="0" applyFont="1" applyFill="1" applyBorder="1" applyAlignment="1" applyProtection="1">
      <alignment vertical="center"/>
      <protection hidden="1"/>
    </xf>
    <xf numFmtId="166" fontId="16" fillId="3" borderId="1" xfId="4" applyNumberFormat="1" applyFont="1" applyFill="1" applyBorder="1" applyAlignment="1" applyProtection="1">
      <alignment vertical="center"/>
      <protection hidden="1"/>
    </xf>
    <xf numFmtId="0" fontId="23" fillId="3" borderId="0" xfId="0" applyFont="1" applyFill="1" applyAlignment="1" applyProtection="1">
      <alignment horizontal="left" vertical="top" wrapText="1"/>
      <protection hidden="1"/>
    </xf>
    <xf numFmtId="168" fontId="11" fillId="3" borderId="0" xfId="0" applyNumberFormat="1" applyFont="1" applyFill="1" applyBorder="1" applyAlignment="1" applyProtection="1">
      <alignment vertical="center"/>
      <protection hidden="1"/>
    </xf>
    <xf numFmtId="0" fontId="13" fillId="3" borderId="0" xfId="0" applyFont="1" applyFill="1" applyBorder="1" applyAlignment="1" applyProtection="1">
      <alignment horizontal="left" vertical="center" wrapText="1"/>
      <protection hidden="1"/>
    </xf>
    <xf numFmtId="0" fontId="11" fillId="3" borderId="0" xfId="0" applyFont="1" applyFill="1" applyAlignment="1" applyProtection="1">
      <alignment horizontal="left"/>
      <protection hidden="1"/>
    </xf>
    <xf numFmtId="0" fontId="13" fillId="19" borderId="43" xfId="0" applyFont="1" applyFill="1" applyBorder="1" applyAlignment="1" applyProtection="1">
      <alignment horizontal="center" vertical="center"/>
      <protection hidden="1"/>
    </xf>
    <xf numFmtId="0" fontId="12" fillId="3" borderId="0" xfId="0" applyFont="1" applyFill="1" applyAlignment="1" applyProtection="1">
      <alignment horizontal="center" vertical="center"/>
      <protection hidden="1"/>
    </xf>
    <xf numFmtId="0" fontId="11" fillId="3" borderId="0" xfId="0" applyFont="1" applyFill="1" applyBorder="1" applyAlignment="1" applyProtection="1">
      <alignment vertical="center"/>
      <protection hidden="1"/>
    </xf>
    <xf numFmtId="0" fontId="10" fillId="3" borderId="0" xfId="0" applyFont="1" applyFill="1" applyAlignment="1" applyProtection="1">
      <alignment horizontal="center" vertical="center" wrapText="1"/>
      <protection hidden="1"/>
    </xf>
    <xf numFmtId="0" fontId="13" fillId="3" borderId="0" xfId="0" applyFont="1" applyFill="1" applyAlignment="1" applyProtection="1">
      <alignment horizontal="center" vertical="center"/>
      <protection hidden="1"/>
    </xf>
    <xf numFmtId="166" fontId="16" fillId="3" borderId="0" xfId="4" applyNumberFormat="1" applyFont="1" applyFill="1" applyBorder="1" applyAlignment="1" applyProtection="1">
      <alignment vertical="center"/>
      <protection hidden="1"/>
    </xf>
    <xf numFmtId="166" fontId="13" fillId="3" borderId="4" xfId="4" applyNumberFormat="1" applyFont="1" applyFill="1" applyBorder="1" applyAlignment="1" applyProtection="1">
      <alignment vertical="center"/>
      <protection hidden="1"/>
    </xf>
    <xf numFmtId="4" fontId="11" fillId="3" borderId="0" xfId="0" applyNumberFormat="1" applyFont="1" applyFill="1" applyBorder="1" applyAlignment="1" applyProtection="1">
      <alignment vertical="center"/>
      <protection hidden="1"/>
    </xf>
    <xf numFmtId="168" fontId="15" fillId="3" borderId="6" xfId="6" applyNumberFormat="1" applyFont="1" applyFill="1" applyBorder="1" applyAlignment="1" applyProtection="1">
      <alignment vertical="center"/>
      <protection hidden="1"/>
    </xf>
    <xf numFmtId="168" fontId="11" fillId="3" borderId="0" xfId="0" applyNumberFormat="1" applyFont="1" applyFill="1" applyAlignment="1" applyProtection="1">
      <alignment vertical="center"/>
      <protection hidden="1"/>
    </xf>
    <xf numFmtId="0" fontId="11" fillId="3" borderId="0" xfId="0" applyFont="1" applyFill="1" applyBorder="1" applyAlignment="1" applyProtection="1">
      <alignment horizontal="center" vertical="center"/>
      <protection hidden="1"/>
    </xf>
    <xf numFmtId="168" fontId="12" fillId="3" borderId="0" xfId="0" applyNumberFormat="1" applyFont="1" applyFill="1" applyAlignment="1" applyProtection="1">
      <alignment vertical="center"/>
      <protection hidden="1"/>
    </xf>
    <xf numFmtId="4" fontId="20" fillId="3" borderId="0" xfId="0" applyNumberFormat="1" applyFont="1" applyFill="1" applyBorder="1" applyAlignment="1" applyProtection="1">
      <alignment vertical="center"/>
      <protection hidden="1"/>
    </xf>
    <xf numFmtId="44" fontId="17" fillId="3" borderId="0" xfId="3" applyNumberFormat="1" applyFont="1" applyFill="1" applyBorder="1" applyAlignment="1" applyProtection="1">
      <alignment vertical="center"/>
      <protection hidden="1"/>
    </xf>
    <xf numFmtId="0" fontId="13" fillId="3" borderId="0" xfId="0" applyFont="1" applyFill="1" applyBorder="1" applyAlignment="1" applyProtection="1">
      <alignment vertical="center"/>
      <protection hidden="1"/>
    </xf>
    <xf numFmtId="0" fontId="20" fillId="3" borderId="0" xfId="0" applyFont="1" applyFill="1" applyBorder="1" applyAlignment="1" applyProtection="1">
      <alignment vertical="center"/>
      <protection hidden="1"/>
    </xf>
    <xf numFmtId="44" fontId="0" fillId="0" borderId="1" xfId="1" applyFont="1" applyBorder="1"/>
    <xf numFmtId="0" fontId="0" fillId="3" borderId="0" xfId="0" applyFill="1" applyProtection="1">
      <protection hidden="1"/>
    </xf>
    <xf numFmtId="0" fontId="21" fillId="12" borderId="31" xfId="0" applyFont="1" applyFill="1" applyBorder="1" applyAlignment="1" applyProtection="1">
      <alignment horizontal="center" vertical="center"/>
      <protection hidden="1"/>
    </xf>
    <xf numFmtId="0" fontId="21" fillId="12" borderId="31" xfId="0" applyFont="1" applyFill="1" applyBorder="1" applyAlignment="1" applyProtection="1">
      <alignment horizontal="center" vertical="center" wrapText="1"/>
      <protection hidden="1"/>
    </xf>
    <xf numFmtId="0" fontId="21" fillId="10" borderId="31" xfId="0" applyFont="1" applyFill="1" applyBorder="1" applyAlignment="1" applyProtection="1">
      <alignment horizontal="center" vertical="center" wrapText="1"/>
      <protection hidden="1"/>
    </xf>
    <xf numFmtId="0" fontId="47" fillId="9" borderId="1" xfId="0" applyFont="1" applyFill="1" applyBorder="1" applyAlignment="1" applyProtection="1">
      <alignment vertical="center"/>
      <protection hidden="1"/>
    </xf>
    <xf numFmtId="1" fontId="47" fillId="9" borderId="1" xfId="0" applyNumberFormat="1" applyFont="1" applyFill="1" applyBorder="1" applyAlignment="1" applyProtection="1">
      <alignment vertical="center" wrapText="1"/>
      <protection hidden="1"/>
    </xf>
    <xf numFmtId="1" fontId="47" fillId="9" borderId="1" xfId="0" applyNumberFormat="1" applyFont="1" applyFill="1" applyBorder="1" applyAlignment="1" applyProtection="1">
      <alignment vertical="center"/>
      <protection hidden="1"/>
    </xf>
    <xf numFmtId="173" fontId="47" fillId="9" borderId="1" xfId="1" applyNumberFormat="1" applyFont="1" applyFill="1" applyBorder="1" applyAlignment="1" applyProtection="1">
      <alignment vertical="center" wrapText="1"/>
      <protection hidden="1"/>
    </xf>
    <xf numFmtId="172" fontId="11" fillId="3" borderId="0" xfId="0" applyNumberFormat="1" applyFont="1" applyFill="1" applyProtection="1">
      <protection hidden="1"/>
    </xf>
    <xf numFmtId="173" fontId="46" fillId="20" borderId="1" xfId="1" applyNumberFormat="1" applyFont="1" applyFill="1" applyBorder="1" applyAlignment="1" applyProtection="1">
      <alignment vertical="center"/>
      <protection hidden="1"/>
    </xf>
    <xf numFmtId="0" fontId="23" fillId="3" borderId="0" xfId="0" applyFont="1" applyFill="1" applyBorder="1" applyAlignment="1" applyProtection="1">
      <alignment vertical="center"/>
      <protection hidden="1"/>
    </xf>
    <xf numFmtId="0" fontId="23" fillId="3" borderId="0" xfId="0" applyFont="1" applyFill="1" applyBorder="1" applyProtection="1">
      <protection hidden="1"/>
    </xf>
    <xf numFmtId="168" fontId="23" fillId="3" borderId="0" xfId="0" applyNumberFormat="1" applyFont="1" applyFill="1" applyBorder="1" applyProtection="1">
      <protection hidden="1"/>
    </xf>
    <xf numFmtId="44" fontId="23" fillId="3" borderId="0" xfId="1" applyFont="1" applyFill="1" applyBorder="1" applyProtection="1">
      <protection hidden="1"/>
    </xf>
    <xf numFmtId="0" fontId="21" fillId="12" borderId="1" xfId="0" applyFont="1" applyFill="1" applyBorder="1" applyAlignment="1" applyProtection="1">
      <alignment horizontal="left" vertical="center" wrapText="1"/>
      <protection hidden="1"/>
    </xf>
    <xf numFmtId="0" fontId="27" fillId="3" borderId="0" xfId="0" applyFont="1" applyFill="1" applyBorder="1" applyAlignment="1" applyProtection="1">
      <protection hidden="1"/>
    </xf>
    <xf numFmtId="0" fontId="23" fillId="3" borderId="0" xfId="0" applyFont="1" applyFill="1" applyBorder="1" applyAlignment="1" applyProtection="1">
      <alignment vertical="center" wrapText="1"/>
      <protection hidden="1"/>
    </xf>
    <xf numFmtId="1" fontId="23" fillId="3" borderId="0" xfId="0" applyNumberFormat="1" applyFont="1" applyFill="1" applyBorder="1" applyProtection="1">
      <protection hidden="1"/>
    </xf>
    <xf numFmtId="0" fontId="27" fillId="0" borderId="39" xfId="0" applyFont="1" applyFill="1" applyBorder="1" applyAlignment="1" applyProtection="1">
      <alignment horizontal="center" vertical="center" wrapText="1"/>
      <protection hidden="1"/>
    </xf>
    <xf numFmtId="0" fontId="11" fillId="3" borderId="33" xfId="0" applyFont="1" applyFill="1" applyBorder="1" applyProtection="1">
      <protection hidden="1"/>
    </xf>
    <xf numFmtId="0" fontId="46" fillId="15" borderId="1" xfId="0" applyFont="1" applyFill="1" applyBorder="1" applyAlignment="1" applyProtection="1">
      <alignment vertical="center"/>
      <protection locked="0"/>
    </xf>
    <xf numFmtId="1" fontId="46" fillId="15" borderId="1" xfId="0" applyNumberFormat="1" applyFont="1" applyFill="1" applyBorder="1" applyAlignment="1" applyProtection="1">
      <alignment vertical="center"/>
      <protection locked="0"/>
    </xf>
    <xf numFmtId="1" fontId="46" fillId="15" borderId="1" xfId="0" applyNumberFormat="1" applyFont="1" applyFill="1" applyBorder="1" applyAlignment="1" applyProtection="1">
      <alignment horizontal="left" vertical="center"/>
      <protection locked="0"/>
    </xf>
    <xf numFmtId="173" fontId="46" fillId="0" borderId="1" xfId="1" applyNumberFormat="1" applyFont="1" applyBorder="1" applyAlignment="1" applyProtection="1">
      <alignment vertical="center"/>
      <protection locked="0"/>
    </xf>
    <xf numFmtId="173" fontId="46" fillId="3" borderId="1" xfId="1" applyNumberFormat="1" applyFont="1" applyFill="1" applyBorder="1" applyAlignment="1" applyProtection="1">
      <alignment vertical="center"/>
      <protection locked="0"/>
    </xf>
    <xf numFmtId="1" fontId="46" fillId="15" borderId="1" xfId="0" applyNumberFormat="1" applyFont="1" applyFill="1" applyBorder="1" applyAlignment="1" applyProtection="1">
      <alignment vertical="center" wrapText="1"/>
      <protection locked="0"/>
    </xf>
    <xf numFmtId="173" fontId="46" fillId="0" borderId="1" xfId="1" applyNumberFormat="1" applyFont="1" applyBorder="1" applyAlignment="1" applyProtection="1">
      <alignment vertical="center" wrapText="1"/>
      <protection locked="0"/>
    </xf>
    <xf numFmtId="173" fontId="46" fillId="3" borderId="1" xfId="1" applyNumberFormat="1" applyFont="1" applyFill="1" applyBorder="1" applyAlignment="1" applyProtection="1">
      <alignment vertical="center" wrapText="1"/>
      <protection locked="0"/>
    </xf>
    <xf numFmtId="0" fontId="46" fillId="15" borderId="1" xfId="0" applyFont="1" applyFill="1" applyBorder="1" applyAlignment="1" applyProtection="1">
      <alignment horizontal="left" vertical="center"/>
      <protection locked="0"/>
    </xf>
    <xf numFmtId="173" fontId="46" fillId="0" borderId="1" xfId="1" applyNumberFormat="1" applyFont="1" applyBorder="1" applyProtection="1">
      <protection locked="0"/>
    </xf>
    <xf numFmtId="1" fontId="46" fillId="15" borderId="4" xfId="0" applyNumberFormat="1" applyFont="1" applyFill="1" applyBorder="1" applyAlignment="1" applyProtection="1">
      <alignment vertical="center"/>
      <protection locked="0"/>
    </xf>
    <xf numFmtId="0" fontId="47" fillId="15" borderId="1" xfId="0" applyFont="1" applyFill="1" applyBorder="1" applyAlignment="1" applyProtection="1">
      <alignment vertical="center"/>
      <protection locked="0"/>
    </xf>
    <xf numFmtId="173" fontId="47" fillId="3" borderId="1" xfId="1" applyNumberFormat="1" applyFont="1" applyFill="1" applyBorder="1" applyAlignment="1" applyProtection="1">
      <alignment vertical="center"/>
      <protection locked="0"/>
    </xf>
    <xf numFmtId="0" fontId="46" fillId="15" borderId="1" xfId="0" applyFont="1" applyFill="1" applyBorder="1" applyProtection="1">
      <protection locked="0"/>
    </xf>
    <xf numFmtId="0" fontId="46" fillId="15" borderId="1" xfId="0" applyFont="1" applyFill="1" applyBorder="1" applyAlignment="1" applyProtection="1">
      <alignment horizontal="left"/>
      <protection locked="0"/>
    </xf>
    <xf numFmtId="173" fontId="46" fillId="3" borderId="1" xfId="1" applyNumberFormat="1" applyFont="1" applyFill="1" applyBorder="1" applyProtection="1">
      <protection locked="0"/>
    </xf>
    <xf numFmtId="1" fontId="46" fillId="15" borderId="1" xfId="0" applyNumberFormat="1" applyFont="1" applyFill="1" applyBorder="1" applyAlignment="1" applyProtection="1">
      <alignment wrapText="1"/>
      <protection locked="0"/>
    </xf>
    <xf numFmtId="1" fontId="46" fillId="15" borderId="1" xfId="0" applyNumberFormat="1" applyFont="1" applyFill="1" applyBorder="1" applyAlignment="1" applyProtection="1">
      <alignment horizontal="left"/>
      <protection locked="0"/>
    </xf>
    <xf numFmtId="173" fontId="46" fillId="0" borderId="1" xfId="1" applyNumberFormat="1" applyFont="1" applyBorder="1" applyAlignment="1" applyProtection="1">
      <alignment wrapText="1"/>
      <protection locked="0"/>
    </xf>
    <xf numFmtId="1" fontId="46" fillId="15" borderId="1" xfId="0" applyNumberFormat="1" applyFont="1" applyFill="1" applyBorder="1" applyProtection="1">
      <protection locked="0"/>
    </xf>
    <xf numFmtId="168" fontId="46" fillId="0" borderId="1" xfId="1" applyNumberFormat="1" applyFont="1" applyBorder="1" applyProtection="1">
      <protection locked="0"/>
    </xf>
    <xf numFmtId="168" fontId="46" fillId="0" borderId="1" xfId="1" applyNumberFormat="1" applyFont="1" applyBorder="1" applyAlignment="1" applyProtection="1">
      <alignment wrapText="1"/>
      <protection locked="0"/>
    </xf>
    <xf numFmtId="44" fontId="46" fillId="3" borderId="1" xfId="1" applyFont="1" applyFill="1" applyBorder="1" applyProtection="1">
      <protection locked="0"/>
    </xf>
    <xf numFmtId="44" fontId="46" fillId="0" borderId="1" xfId="1" applyFont="1" applyBorder="1" applyProtection="1">
      <protection locked="0"/>
    </xf>
    <xf numFmtId="0" fontId="47" fillId="15" borderId="1" xfId="0" applyFont="1" applyFill="1" applyBorder="1" applyAlignment="1" applyProtection="1">
      <protection locked="0"/>
    </xf>
    <xf numFmtId="173" fontId="47" fillId="3" borderId="1" xfId="1" applyNumberFormat="1" applyFont="1" applyFill="1" applyBorder="1" applyAlignment="1" applyProtection="1">
      <protection locked="0"/>
    </xf>
    <xf numFmtId="173" fontId="46" fillId="3" borderId="1" xfId="1" applyNumberFormat="1" applyFont="1" applyFill="1" applyBorder="1" applyAlignment="1" applyProtection="1">
      <alignment wrapText="1"/>
      <protection locked="0"/>
    </xf>
    <xf numFmtId="15" fontId="46" fillId="15" borderId="1" xfId="0" applyNumberFormat="1" applyFont="1" applyFill="1" applyBorder="1" applyAlignment="1" applyProtection="1">
      <alignment vertical="center"/>
      <protection locked="0"/>
    </xf>
    <xf numFmtId="15" fontId="46" fillId="15" borderId="1" xfId="0" applyNumberFormat="1" applyFont="1" applyFill="1" applyBorder="1" applyAlignment="1" applyProtection="1">
      <alignment horizontal="left" vertical="center"/>
      <protection locked="0"/>
    </xf>
    <xf numFmtId="173" fontId="46" fillId="0" borderId="0" xfId="1" applyNumberFormat="1" applyFont="1" applyProtection="1">
      <protection locked="0"/>
    </xf>
    <xf numFmtId="44" fontId="11" fillId="3" borderId="1" xfId="6" applyNumberFormat="1" applyFont="1" applyFill="1" applyBorder="1" applyAlignment="1" applyProtection="1">
      <alignment vertical="center"/>
      <protection hidden="1"/>
    </xf>
    <xf numFmtId="0" fontId="51" fillId="3" borderId="0" xfId="0" applyFont="1" applyFill="1" applyAlignment="1" applyProtection="1">
      <alignment horizontal="left" wrapText="1"/>
      <protection hidden="1"/>
    </xf>
    <xf numFmtId="0" fontId="51" fillId="3" borderId="0" xfId="0" applyFont="1" applyFill="1" applyAlignment="1" applyProtection="1">
      <alignment horizontal="left"/>
      <protection hidden="1"/>
    </xf>
    <xf numFmtId="0" fontId="37" fillId="3" borderId="0" xfId="0" applyFont="1" applyFill="1" applyAlignment="1" applyProtection="1">
      <alignment horizontal="left" vertical="top" wrapText="1"/>
      <protection hidden="1"/>
    </xf>
    <xf numFmtId="0" fontId="53" fillId="3" borderId="0" xfId="0" applyFont="1" applyFill="1" applyAlignment="1" applyProtection="1">
      <alignment horizontal="left" vertical="top" wrapText="1"/>
      <protection hidden="1"/>
    </xf>
    <xf numFmtId="0" fontId="52" fillId="3" borderId="0" xfId="9" applyFont="1" applyFill="1" applyAlignment="1" applyProtection="1">
      <alignment horizontal="left" vertical="center"/>
      <protection hidden="1"/>
    </xf>
    <xf numFmtId="0" fontId="23" fillId="3" borderId="0" xfId="0" applyFont="1" applyFill="1" applyAlignment="1" applyProtection="1">
      <alignment horizontal="left" vertical="top" wrapText="1"/>
      <protection hidden="1"/>
    </xf>
    <xf numFmtId="0" fontId="13" fillId="3" borderId="0" xfId="0" applyFont="1" applyFill="1" applyAlignment="1" applyProtection="1">
      <alignment horizontal="center"/>
      <protection hidden="1"/>
    </xf>
    <xf numFmtId="3" fontId="16" fillId="3" borderId="2" xfId="5" applyNumberFormat="1" applyFont="1" applyFill="1" applyBorder="1" applyAlignment="1" applyProtection="1">
      <alignment horizontal="center" vertical="center"/>
      <protection hidden="1"/>
    </xf>
    <xf numFmtId="3" fontId="16" fillId="3" borderId="3" xfId="5" applyNumberFormat="1" applyFont="1" applyFill="1" applyBorder="1" applyAlignment="1" applyProtection="1">
      <alignment horizontal="center" vertical="center"/>
      <protection hidden="1"/>
    </xf>
    <xf numFmtId="3" fontId="16" fillId="3" borderId="4" xfId="5" applyNumberFormat="1" applyFont="1" applyFill="1" applyBorder="1" applyAlignment="1" applyProtection="1">
      <alignment horizontal="center" vertical="center"/>
      <protection hidden="1"/>
    </xf>
    <xf numFmtId="168" fontId="20" fillId="3" borderId="1" xfId="6" applyNumberFormat="1" applyFont="1" applyFill="1" applyBorder="1" applyAlignment="1" applyProtection="1">
      <alignment horizontal="center" vertical="center"/>
      <protection hidden="1"/>
    </xf>
    <xf numFmtId="168" fontId="20" fillId="3" borderId="2" xfId="6" applyNumberFormat="1" applyFont="1" applyFill="1" applyBorder="1" applyAlignment="1" applyProtection="1">
      <alignment horizontal="center" vertical="center"/>
      <protection hidden="1"/>
    </xf>
    <xf numFmtId="168" fontId="20" fillId="3" borderId="4" xfId="6" applyNumberFormat="1" applyFont="1" applyFill="1" applyBorder="1" applyAlignment="1" applyProtection="1">
      <alignment horizontal="center" vertical="center"/>
      <protection hidden="1"/>
    </xf>
    <xf numFmtId="168" fontId="11" fillId="3" borderId="6" xfId="0" applyNumberFormat="1" applyFont="1" applyFill="1" applyBorder="1" applyAlignment="1" applyProtection="1">
      <alignment vertical="center"/>
      <protection hidden="1"/>
    </xf>
    <xf numFmtId="168" fontId="11" fillId="3" borderId="10" xfId="0" applyNumberFormat="1" applyFont="1" applyFill="1" applyBorder="1" applyAlignment="1" applyProtection="1">
      <alignment vertical="center"/>
      <protection hidden="1"/>
    </xf>
    <xf numFmtId="0" fontId="11" fillId="3" borderId="3" xfId="0" applyFont="1" applyFill="1" applyBorder="1" applyAlignment="1" applyProtection="1">
      <alignment horizontal="center" vertical="center"/>
      <protection hidden="1"/>
    </xf>
    <xf numFmtId="168" fontId="11" fillId="3" borderId="37" xfId="0" applyNumberFormat="1" applyFont="1" applyFill="1" applyBorder="1" applyAlignment="1" applyProtection="1">
      <alignment vertical="center"/>
      <protection hidden="1"/>
    </xf>
    <xf numFmtId="168" fontId="11" fillId="3" borderId="0" xfId="0" applyNumberFormat="1" applyFont="1" applyFill="1" applyBorder="1" applyAlignment="1" applyProtection="1">
      <alignment vertical="center"/>
      <protection hidden="1"/>
    </xf>
    <xf numFmtId="4" fontId="0" fillId="0" borderId="6" xfId="0" applyNumberFormat="1" applyBorder="1" applyAlignment="1" applyProtection="1">
      <alignment vertical="center"/>
      <protection hidden="1"/>
    </xf>
    <xf numFmtId="4" fontId="0" fillId="0" borderId="8" xfId="0" applyNumberFormat="1" applyBorder="1" applyAlignment="1" applyProtection="1">
      <alignment vertical="center"/>
      <protection hidden="1"/>
    </xf>
    <xf numFmtId="4" fontId="0" fillId="0" borderId="10" xfId="0" applyNumberFormat="1" applyBorder="1" applyAlignment="1" applyProtection="1">
      <alignment vertical="center"/>
      <protection hidden="1"/>
    </xf>
    <xf numFmtId="0" fontId="18" fillId="12" borderId="42" xfId="0" applyFont="1" applyFill="1" applyBorder="1" applyAlignment="1" applyProtection="1">
      <alignment horizontal="left" vertical="center" wrapText="1"/>
      <protection hidden="1"/>
    </xf>
    <xf numFmtId="0" fontId="11" fillId="3" borderId="0" xfId="0" applyFont="1" applyFill="1" applyAlignment="1" applyProtection="1">
      <alignment horizontal="center"/>
      <protection hidden="1"/>
    </xf>
    <xf numFmtId="0" fontId="13" fillId="19" borderId="2" xfId="0" quotePrefix="1" applyFont="1" applyFill="1" applyBorder="1" applyAlignment="1" applyProtection="1">
      <alignment horizontal="center" vertical="center" wrapText="1"/>
      <protection locked="0"/>
    </xf>
    <xf numFmtId="0" fontId="13" fillId="19" borderId="4" xfId="0" quotePrefix="1" applyFont="1" applyFill="1" applyBorder="1" applyAlignment="1" applyProtection="1">
      <alignment horizontal="center" vertical="center" wrapText="1"/>
      <protection locked="0"/>
    </xf>
    <xf numFmtId="0" fontId="27" fillId="19" borderId="2" xfId="0" applyFont="1" applyFill="1" applyBorder="1" applyAlignment="1" applyProtection="1">
      <alignment horizontal="center" vertical="center" wrapText="1"/>
      <protection locked="0"/>
    </xf>
    <xf numFmtId="0" fontId="27" fillId="19" borderId="4" xfId="0" applyFont="1" applyFill="1" applyBorder="1" applyAlignment="1" applyProtection="1">
      <alignment horizontal="center" vertical="center" wrapText="1"/>
      <protection locked="0"/>
    </xf>
    <xf numFmtId="0" fontId="56" fillId="12" borderId="42" xfId="0" applyFont="1" applyFill="1" applyBorder="1" applyAlignment="1" applyProtection="1">
      <alignment horizontal="center" vertical="center"/>
      <protection hidden="1"/>
    </xf>
    <xf numFmtId="0" fontId="13" fillId="3" borderId="0" xfId="0" applyFont="1" applyFill="1" applyBorder="1" applyAlignment="1" applyProtection="1">
      <alignment horizontal="left" vertical="center" wrapText="1"/>
      <protection hidden="1"/>
    </xf>
    <xf numFmtId="0" fontId="46" fillId="15" borderId="38" xfId="0" applyFont="1" applyFill="1" applyBorder="1" applyAlignment="1">
      <alignment horizontal="left" vertical="center"/>
    </xf>
    <xf numFmtId="0" fontId="46" fillId="15" borderId="31" xfId="0" applyFont="1" applyFill="1" applyBorder="1" applyAlignment="1">
      <alignment horizontal="left" vertical="center"/>
    </xf>
    <xf numFmtId="0" fontId="46" fillId="15" borderId="1" xfId="0" applyFont="1" applyFill="1" applyBorder="1" applyAlignment="1">
      <alignment horizontal="left" vertical="center"/>
    </xf>
    <xf numFmtId="0" fontId="46" fillId="15" borderId="5" xfId="0" applyFont="1" applyFill="1" applyBorder="1" applyAlignment="1">
      <alignment horizontal="left" vertical="center"/>
    </xf>
    <xf numFmtId="15" fontId="46" fillId="15" borderId="38" xfId="0" applyNumberFormat="1" applyFont="1" applyFill="1" applyBorder="1" applyAlignment="1">
      <alignment horizontal="left" vertical="center"/>
    </xf>
    <xf numFmtId="15" fontId="46" fillId="15" borderId="5" xfId="0" applyNumberFormat="1" applyFont="1" applyFill="1" applyBorder="1" applyAlignment="1">
      <alignment horizontal="left" vertical="center"/>
    </xf>
    <xf numFmtId="15" fontId="46" fillId="15" borderId="31" xfId="0" applyNumberFormat="1" applyFont="1" applyFill="1" applyBorder="1" applyAlignment="1">
      <alignment horizontal="left" vertical="center"/>
    </xf>
    <xf numFmtId="0" fontId="0" fillId="0" borderId="25" xfId="0" applyBorder="1" applyAlignment="1">
      <alignment horizontal="center"/>
    </xf>
    <xf numFmtId="0" fontId="0" fillId="0" borderId="26" xfId="0" applyBorder="1" applyAlignment="1">
      <alignment horizontal="center"/>
    </xf>
    <xf numFmtId="0" fontId="0" fillId="0" borderId="27"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1" xfId="0" applyBorder="1" applyAlignment="1">
      <alignment horizontal="center"/>
    </xf>
    <xf numFmtId="2" fontId="0" fillId="0" borderId="2" xfId="0" applyNumberFormat="1" applyBorder="1" applyAlignment="1">
      <alignment horizontal="center"/>
    </xf>
    <xf numFmtId="2" fontId="0" fillId="0" borderId="3" xfId="0" applyNumberFormat="1" applyBorder="1" applyAlignment="1">
      <alignment horizontal="center"/>
    </xf>
    <xf numFmtId="2" fontId="0" fillId="0" borderId="4" xfId="0" applyNumberFormat="1" applyBorder="1" applyAlignment="1">
      <alignment horizontal="center"/>
    </xf>
  </cellXfs>
  <cellStyles count="10">
    <cellStyle name="Ausgabe" xfId="5" builtinId="21"/>
    <cellStyle name="Berechnung" xfId="6" builtinId="22"/>
    <cellStyle name="Eingabe" xfId="4" builtinId="20"/>
    <cellStyle name="Gut" xfId="2" builtinId="26"/>
    <cellStyle name="Komma" xfId="7" builtinId="3"/>
    <cellStyle name="Link" xfId="9" builtinId="8"/>
    <cellStyle name="Prozent" xfId="8" builtinId="5"/>
    <cellStyle name="Schlecht" xfId="3" builtinId="27"/>
    <cellStyle name="Standard" xfId="0" builtinId="0"/>
    <cellStyle name="Währung" xfId="1" builtinId="4"/>
  </cellStyles>
  <dxfs count="12">
    <dxf>
      <font>
        <color rgb="FF006100"/>
      </font>
      <fill>
        <patternFill>
          <bgColor rgb="FFD5F3DB"/>
        </patternFill>
      </fill>
    </dxf>
    <dxf>
      <font>
        <color rgb="FF9C0006"/>
      </font>
      <fill>
        <patternFill>
          <bgColor rgb="FFFFC7CE"/>
        </patternFill>
      </fill>
    </dxf>
    <dxf>
      <font>
        <color rgb="FF9C5700"/>
      </font>
      <fill>
        <patternFill>
          <bgColor rgb="FFFFEB9C"/>
        </patternFill>
      </fill>
    </dxf>
    <dxf>
      <font>
        <color rgb="FF006100"/>
      </font>
      <fill>
        <patternFill>
          <bgColor rgb="FFD5F3DB"/>
        </patternFill>
      </fill>
    </dxf>
    <dxf>
      <font>
        <color rgb="FF9C0006"/>
      </font>
      <fill>
        <patternFill>
          <bgColor rgb="FFFFC7CE"/>
        </patternFill>
      </fill>
    </dxf>
    <dxf>
      <font>
        <color rgb="FF9C5700"/>
      </font>
      <fill>
        <patternFill>
          <bgColor rgb="FFFFEB9C"/>
        </patternFill>
      </fill>
    </dxf>
    <dxf>
      <font>
        <color rgb="FF006100"/>
      </font>
      <fill>
        <patternFill>
          <bgColor rgb="FFD5F3DB"/>
        </patternFill>
      </fill>
    </dxf>
    <dxf>
      <font>
        <color rgb="FF9C0006"/>
      </font>
      <fill>
        <patternFill>
          <bgColor rgb="FFFFC7CE"/>
        </patternFill>
      </fill>
    </dxf>
    <dxf>
      <font>
        <color rgb="FF9C5700"/>
      </font>
      <fill>
        <patternFill>
          <bgColor rgb="FFFFEB9C"/>
        </patternFill>
      </fill>
    </dxf>
    <dxf>
      <font>
        <color rgb="FF006100"/>
      </font>
      <fill>
        <patternFill>
          <bgColor rgb="FFD5F3DB"/>
        </patternFill>
      </fill>
    </dxf>
    <dxf>
      <font>
        <color rgb="FF9C0006"/>
      </font>
      <fill>
        <patternFill>
          <bgColor rgb="FFFFC7CE"/>
        </patternFill>
      </fill>
    </dxf>
    <dxf>
      <font>
        <color rgb="FF9C5700"/>
      </font>
      <fill>
        <patternFill>
          <bgColor rgb="FFFFEB9C"/>
        </patternFill>
      </fill>
    </dxf>
  </dxfs>
  <tableStyles count="0" defaultTableStyle="TableStyleMedium2" defaultPivotStyle="PivotStyleLight16"/>
  <colors>
    <mruColors>
      <color rgb="FFD5F3DB"/>
      <color rgb="FFFFCC99"/>
      <color rgb="FFFA7D00"/>
      <color rgb="FF3F3F76"/>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accent2"/>
                </a:solidFill>
                <a:latin typeface="Avenir Next LT Pro" panose="020B0504020202020204" pitchFamily="34" charset="0"/>
                <a:ea typeface="+mn-ea"/>
                <a:cs typeface="+mn-cs"/>
              </a:defRPr>
            </a:pPr>
            <a:r>
              <a:rPr lang="de-DE" sz="1200" b="1">
                <a:solidFill>
                  <a:schemeClr val="accent2"/>
                </a:solidFill>
                <a:latin typeface="Avenir Next LT Pro" panose="020B0504020202020204" pitchFamily="34" charset="0"/>
              </a:rPr>
              <a:t>Streuung</a:t>
            </a:r>
            <a:r>
              <a:rPr lang="de-DE" sz="1200" b="1" baseline="0">
                <a:solidFill>
                  <a:schemeClr val="accent2"/>
                </a:solidFill>
                <a:latin typeface="Avenir Next LT Pro" panose="020B0504020202020204" pitchFamily="34" charset="0"/>
              </a:rPr>
              <a:t> der Preisdatenpunkte in den Artikelgruppen</a:t>
            </a:r>
            <a:endParaRPr lang="de-DE" sz="1200" b="1">
              <a:solidFill>
                <a:schemeClr val="accent2"/>
              </a:solidFill>
              <a:latin typeface="Avenir Next LT Pro" panose="020B0504020202020204" pitchFamily="34" charset="0"/>
            </a:endParaRPr>
          </a:p>
        </c:rich>
      </c:tx>
      <c:overlay val="0"/>
      <c:spPr>
        <a:noFill/>
        <a:ln>
          <a:noFill/>
        </a:ln>
        <a:effectLst/>
      </c:spPr>
      <c:txPr>
        <a:bodyPr rot="0" spcFirstLastPara="1" vertOverflow="ellipsis" vert="horz" wrap="square" anchor="ctr" anchorCtr="1"/>
        <a:lstStyle/>
        <a:p>
          <a:pPr>
            <a:defRPr sz="1200" b="1" i="0" u="none" strike="noStrike" kern="1200" spc="0" baseline="0">
              <a:solidFill>
                <a:schemeClr val="accent2"/>
              </a:solidFill>
              <a:latin typeface="Avenir Next LT Pro" panose="020B0504020202020204" pitchFamily="34" charset="0"/>
              <a:ea typeface="+mn-ea"/>
              <a:cs typeface="+mn-cs"/>
            </a:defRPr>
          </a:pPr>
          <a:endParaRPr lang="de-DE"/>
        </a:p>
      </c:txPr>
    </c:title>
    <c:autoTitleDeleted val="0"/>
    <c:plotArea>
      <c:layout/>
      <c:barChart>
        <c:barDir val="col"/>
        <c:grouping val="stacked"/>
        <c:varyColors val="0"/>
        <c:ser>
          <c:idx val="0"/>
          <c:order val="0"/>
          <c:spPr>
            <a:noFill/>
            <a:ln>
              <a:noFill/>
            </a:ln>
            <a:effectLst/>
          </c:spPr>
          <c:invertIfNegative val="0"/>
          <c:cat>
            <c:strRef>
              <c:f>Preisentwicklung!$B$10:$K$10</c:f>
              <c:strCache>
                <c:ptCount val="10"/>
                <c:pt idx="0">
                  <c:v>MNS einfach</c:v>
                </c:pt>
                <c:pt idx="1">
                  <c:v>FFP2 ohne Ventil</c:v>
                </c:pt>
                <c:pt idx="2">
                  <c:v>FFP2 mit Ventil</c:v>
                </c:pt>
                <c:pt idx="3">
                  <c:v>FFP3 ohne Ventil</c:v>
                </c:pt>
                <c:pt idx="4">
                  <c:v>FFP3 mit Ventil</c:v>
                </c:pt>
                <c:pt idx="5">
                  <c:v>US-Handschuhe unsteril Latex</c:v>
                </c:pt>
                <c:pt idx="6">
                  <c:v>US-Handschuhe unsteril latexfrei</c:v>
                </c:pt>
                <c:pt idx="7">
                  <c:v>Kittel unverstärkt</c:v>
                </c:pt>
                <c:pt idx="8">
                  <c:v>Kittel verstärkt</c:v>
                </c:pt>
                <c:pt idx="9">
                  <c:v>Sichtschutz/-brille</c:v>
                </c:pt>
              </c:strCache>
            </c:strRef>
          </c:cat>
          <c:val>
            <c:numRef>
              <c:f>Preisentwicklung!$B$11:$K$11</c:f>
              <c:numCache>
                <c:formatCode>General</c:formatCode>
                <c:ptCount val="10"/>
                <c:pt idx="0">
                  <c:v>9.4999999999999998E-3</c:v>
                </c:pt>
                <c:pt idx="1">
                  <c:v>0.57499999999999996</c:v>
                </c:pt>
                <c:pt idx="2">
                  <c:v>0.64</c:v>
                </c:pt>
                <c:pt idx="3">
                  <c:v>0.83</c:v>
                </c:pt>
                <c:pt idx="4">
                  <c:v>0.94</c:v>
                </c:pt>
                <c:pt idx="5">
                  <c:v>2.2499999999999999E-2</c:v>
                </c:pt>
                <c:pt idx="6">
                  <c:v>2.1999999999999999E-2</c:v>
                </c:pt>
                <c:pt idx="7">
                  <c:v>0.19</c:v>
                </c:pt>
                <c:pt idx="8">
                  <c:v>0.32</c:v>
                </c:pt>
                <c:pt idx="9">
                  <c:v>0.71</c:v>
                </c:pt>
              </c:numCache>
            </c:numRef>
          </c:val>
          <c:extLst>
            <c:ext xmlns:c16="http://schemas.microsoft.com/office/drawing/2014/chart" uri="{C3380CC4-5D6E-409C-BE32-E72D297353CC}">
              <c16:uniqueId val="{00000001-E20D-4E36-B2A1-8DA2B41EFAB2}"/>
            </c:ext>
          </c:extLst>
        </c:ser>
        <c:ser>
          <c:idx val="1"/>
          <c:order val="1"/>
          <c:spPr>
            <a:noFill/>
            <a:ln>
              <a:noFill/>
            </a:ln>
            <a:effectLst/>
          </c:spPr>
          <c:invertIfNegative val="0"/>
          <c:errBars>
            <c:errBarType val="minus"/>
            <c:errValType val="percentage"/>
            <c:noEndCap val="1"/>
            <c:val val="100"/>
            <c:spPr>
              <a:noFill/>
              <a:ln w="9525" cap="flat" cmpd="sng" algn="ctr">
                <a:solidFill>
                  <a:schemeClr val="tx1">
                    <a:lumMod val="65000"/>
                    <a:lumOff val="35000"/>
                  </a:schemeClr>
                </a:solidFill>
                <a:round/>
              </a:ln>
              <a:effectLst/>
            </c:spPr>
          </c:errBars>
          <c:cat>
            <c:strRef>
              <c:f>Preisentwicklung!$B$10:$K$10</c:f>
              <c:strCache>
                <c:ptCount val="10"/>
                <c:pt idx="0">
                  <c:v>MNS einfach</c:v>
                </c:pt>
                <c:pt idx="1">
                  <c:v>FFP2 ohne Ventil</c:v>
                </c:pt>
                <c:pt idx="2">
                  <c:v>FFP2 mit Ventil</c:v>
                </c:pt>
                <c:pt idx="3">
                  <c:v>FFP3 ohne Ventil</c:v>
                </c:pt>
                <c:pt idx="4">
                  <c:v>FFP3 mit Ventil</c:v>
                </c:pt>
                <c:pt idx="5">
                  <c:v>US-Handschuhe unsteril Latex</c:v>
                </c:pt>
                <c:pt idx="6">
                  <c:v>US-Handschuhe unsteril latexfrei</c:v>
                </c:pt>
                <c:pt idx="7">
                  <c:v>Kittel unverstärkt</c:v>
                </c:pt>
                <c:pt idx="8">
                  <c:v>Kittel verstärkt</c:v>
                </c:pt>
                <c:pt idx="9">
                  <c:v>Sichtschutz/-brille</c:v>
                </c:pt>
              </c:strCache>
            </c:strRef>
          </c:cat>
          <c:val>
            <c:numRef>
              <c:f>Preisentwicklung!$B$12:$K$12</c:f>
              <c:numCache>
                <c:formatCode>General</c:formatCode>
                <c:ptCount val="10"/>
                <c:pt idx="0">
                  <c:v>3.2500000000000001E-2</c:v>
                </c:pt>
                <c:pt idx="1">
                  <c:v>0.92147000000000001</c:v>
                </c:pt>
                <c:pt idx="2">
                  <c:v>1.46</c:v>
                </c:pt>
                <c:pt idx="3">
                  <c:v>0.198125</c:v>
                </c:pt>
                <c:pt idx="4">
                  <c:v>1.3210000000000002</c:v>
                </c:pt>
                <c:pt idx="5">
                  <c:v>0</c:v>
                </c:pt>
                <c:pt idx="6">
                  <c:v>3.1000000000000021E-3</c:v>
                </c:pt>
                <c:pt idx="7">
                  <c:v>0.13</c:v>
                </c:pt>
                <c:pt idx="8">
                  <c:v>0</c:v>
                </c:pt>
                <c:pt idx="9">
                  <c:v>0.53</c:v>
                </c:pt>
              </c:numCache>
            </c:numRef>
          </c:val>
          <c:extLst>
            <c:ext xmlns:c16="http://schemas.microsoft.com/office/drawing/2014/chart" uri="{C3380CC4-5D6E-409C-BE32-E72D297353CC}">
              <c16:uniqueId val="{00000002-E20D-4E36-B2A1-8DA2B41EFAB2}"/>
            </c:ext>
          </c:extLst>
        </c:ser>
        <c:ser>
          <c:idx val="2"/>
          <c:order val="2"/>
          <c:spPr>
            <a:solidFill>
              <a:schemeClr val="accent1"/>
            </a:solidFill>
            <a:ln>
              <a:solidFill>
                <a:schemeClr val="bg1"/>
              </a:solidFill>
            </a:ln>
            <a:effectLst/>
          </c:spPr>
          <c:invertIfNegative val="0"/>
          <c:cat>
            <c:strRef>
              <c:f>Preisentwicklung!$B$10:$K$10</c:f>
              <c:strCache>
                <c:ptCount val="10"/>
                <c:pt idx="0">
                  <c:v>MNS einfach</c:v>
                </c:pt>
                <c:pt idx="1">
                  <c:v>FFP2 ohne Ventil</c:v>
                </c:pt>
                <c:pt idx="2">
                  <c:v>FFP2 mit Ventil</c:v>
                </c:pt>
                <c:pt idx="3">
                  <c:v>FFP3 ohne Ventil</c:v>
                </c:pt>
                <c:pt idx="4">
                  <c:v>FFP3 mit Ventil</c:v>
                </c:pt>
                <c:pt idx="5">
                  <c:v>US-Handschuhe unsteril Latex</c:v>
                </c:pt>
                <c:pt idx="6">
                  <c:v>US-Handschuhe unsteril latexfrei</c:v>
                </c:pt>
                <c:pt idx="7">
                  <c:v>Kittel unverstärkt</c:v>
                </c:pt>
                <c:pt idx="8">
                  <c:v>Kittel verstärkt</c:v>
                </c:pt>
                <c:pt idx="9">
                  <c:v>Sichtschutz/-brille</c:v>
                </c:pt>
              </c:strCache>
            </c:strRef>
          </c:cat>
          <c:val>
            <c:numRef>
              <c:f>Preisentwicklung!$B$13:$K$13</c:f>
              <c:numCache>
                <c:formatCode>General</c:formatCode>
                <c:ptCount val="10"/>
                <c:pt idx="0">
                  <c:v>1.8248163265306115E-2</c:v>
                </c:pt>
                <c:pt idx="1">
                  <c:v>0.15352999999999994</c:v>
                </c:pt>
                <c:pt idx="2">
                  <c:v>0</c:v>
                </c:pt>
                <c:pt idx="3">
                  <c:v>2.171875</c:v>
                </c:pt>
                <c:pt idx="4">
                  <c:v>1.9390000000000001</c:v>
                </c:pt>
                <c:pt idx="5">
                  <c:v>0</c:v>
                </c:pt>
                <c:pt idx="6">
                  <c:v>0</c:v>
                </c:pt>
                <c:pt idx="7">
                  <c:v>6.0799999999999965E-2</c:v>
                </c:pt>
                <c:pt idx="8">
                  <c:v>3.3399999999999985E-2</c:v>
                </c:pt>
                <c:pt idx="9">
                  <c:v>8.450000000000002E-2</c:v>
                </c:pt>
              </c:numCache>
            </c:numRef>
          </c:val>
          <c:extLst>
            <c:ext xmlns:c16="http://schemas.microsoft.com/office/drawing/2014/chart" uri="{C3380CC4-5D6E-409C-BE32-E72D297353CC}">
              <c16:uniqueId val="{00000003-E20D-4E36-B2A1-8DA2B41EFAB2}"/>
            </c:ext>
          </c:extLst>
        </c:ser>
        <c:ser>
          <c:idx val="3"/>
          <c:order val="3"/>
          <c:spPr>
            <a:solidFill>
              <a:schemeClr val="accent1"/>
            </a:solidFill>
            <a:ln>
              <a:solidFill>
                <a:schemeClr val="bg1"/>
              </a:solidFill>
            </a:ln>
            <a:effectLst/>
          </c:spPr>
          <c:invertIfNegative val="0"/>
          <c:cat>
            <c:strRef>
              <c:f>Preisentwicklung!$B$10:$K$10</c:f>
              <c:strCache>
                <c:ptCount val="10"/>
                <c:pt idx="0">
                  <c:v>MNS einfach</c:v>
                </c:pt>
                <c:pt idx="1">
                  <c:v>FFP2 ohne Ventil</c:v>
                </c:pt>
                <c:pt idx="2">
                  <c:v>FFP2 mit Ventil</c:v>
                </c:pt>
                <c:pt idx="3">
                  <c:v>FFP3 ohne Ventil</c:v>
                </c:pt>
                <c:pt idx="4">
                  <c:v>FFP3 mit Ventil</c:v>
                </c:pt>
                <c:pt idx="5">
                  <c:v>US-Handschuhe unsteril Latex</c:v>
                </c:pt>
                <c:pt idx="6">
                  <c:v>US-Handschuhe unsteril latexfrei</c:v>
                </c:pt>
                <c:pt idx="7">
                  <c:v>Kittel unverstärkt</c:v>
                </c:pt>
                <c:pt idx="8">
                  <c:v>Kittel verstärkt</c:v>
                </c:pt>
                <c:pt idx="9">
                  <c:v>Sichtschutz/-brille</c:v>
                </c:pt>
              </c:strCache>
            </c:strRef>
          </c:cat>
          <c:val>
            <c:numRef>
              <c:f>Preisentwicklung!$B$14:$K$14</c:f>
              <c:numCache>
                <c:formatCode>General</c:formatCode>
                <c:ptCount val="10"/>
                <c:pt idx="0">
                  <c:v>2.5433654916512075E-2</c:v>
                </c:pt>
                <c:pt idx="1">
                  <c:v>1.3250000000000002</c:v>
                </c:pt>
                <c:pt idx="2">
                  <c:v>0.16749999999999998</c:v>
                </c:pt>
                <c:pt idx="3">
                  <c:v>6.25E-2</c:v>
                </c:pt>
                <c:pt idx="4">
                  <c:v>0.39999999999999947</c:v>
                </c:pt>
                <c:pt idx="5">
                  <c:v>2.1999999999999999E-2</c:v>
                </c:pt>
                <c:pt idx="6">
                  <c:v>6.5499999999999968E-3</c:v>
                </c:pt>
                <c:pt idx="7">
                  <c:v>0.36920000000000003</c:v>
                </c:pt>
                <c:pt idx="8">
                  <c:v>0.14050000000000001</c:v>
                </c:pt>
                <c:pt idx="9">
                  <c:v>0.97549999999999981</c:v>
                </c:pt>
              </c:numCache>
            </c:numRef>
          </c:val>
          <c:extLst>
            <c:ext xmlns:c16="http://schemas.microsoft.com/office/drawing/2014/chart" uri="{C3380CC4-5D6E-409C-BE32-E72D297353CC}">
              <c16:uniqueId val="{00000004-E20D-4E36-B2A1-8DA2B41EFAB2}"/>
            </c:ext>
          </c:extLst>
        </c:ser>
        <c:ser>
          <c:idx val="4"/>
          <c:order val="4"/>
          <c:spPr>
            <a:noFill/>
            <a:ln>
              <a:noFill/>
            </a:ln>
            <a:effectLst/>
          </c:spPr>
          <c:invertIfNegative val="0"/>
          <c:errBars>
            <c:errBarType val="minus"/>
            <c:errValType val="percentage"/>
            <c:noEndCap val="1"/>
            <c:val val="100"/>
            <c:spPr>
              <a:noFill/>
              <a:ln w="9525" cap="flat" cmpd="sng" algn="ctr">
                <a:solidFill>
                  <a:schemeClr val="tx1">
                    <a:lumMod val="65000"/>
                    <a:lumOff val="35000"/>
                  </a:schemeClr>
                </a:solidFill>
                <a:round/>
              </a:ln>
              <a:effectLst/>
            </c:spPr>
          </c:errBars>
          <c:cat>
            <c:strRef>
              <c:f>Preisentwicklung!$B$10:$K$10</c:f>
              <c:strCache>
                <c:ptCount val="10"/>
                <c:pt idx="0">
                  <c:v>MNS einfach</c:v>
                </c:pt>
                <c:pt idx="1">
                  <c:v>FFP2 ohne Ventil</c:v>
                </c:pt>
                <c:pt idx="2">
                  <c:v>FFP2 mit Ventil</c:v>
                </c:pt>
                <c:pt idx="3">
                  <c:v>FFP3 ohne Ventil</c:v>
                </c:pt>
                <c:pt idx="4">
                  <c:v>FFP3 mit Ventil</c:v>
                </c:pt>
                <c:pt idx="5">
                  <c:v>US-Handschuhe unsteril Latex</c:v>
                </c:pt>
                <c:pt idx="6">
                  <c:v>US-Handschuhe unsteril latexfrei</c:v>
                </c:pt>
                <c:pt idx="7">
                  <c:v>Kittel unverstärkt</c:v>
                </c:pt>
                <c:pt idx="8">
                  <c:v>Kittel verstärkt</c:v>
                </c:pt>
                <c:pt idx="9">
                  <c:v>Sichtschutz/-brille</c:v>
                </c:pt>
              </c:strCache>
            </c:strRef>
          </c:cat>
          <c:val>
            <c:numRef>
              <c:f>Preisentwicklung!$B$15:$K$15</c:f>
              <c:numCache>
                <c:formatCode>General</c:formatCode>
                <c:ptCount val="10"/>
                <c:pt idx="0">
                  <c:v>0.59331818181818186</c:v>
                </c:pt>
                <c:pt idx="1">
                  <c:v>2.7369999999999997</c:v>
                </c:pt>
                <c:pt idx="2">
                  <c:v>2.7324999999999999</c:v>
                </c:pt>
                <c:pt idx="3">
                  <c:v>3.6875</c:v>
                </c:pt>
                <c:pt idx="4">
                  <c:v>0.87400000000000055</c:v>
                </c:pt>
                <c:pt idx="5">
                  <c:v>1.7390000000000003E-2</c:v>
                </c:pt>
                <c:pt idx="6">
                  <c:v>5.1500000000000018E-3</c:v>
                </c:pt>
                <c:pt idx="7">
                  <c:v>5.9333333333333349E-2</c:v>
                </c:pt>
                <c:pt idx="8">
                  <c:v>0.94609999999999994</c:v>
                </c:pt>
                <c:pt idx="9">
                  <c:v>3.12</c:v>
                </c:pt>
              </c:numCache>
            </c:numRef>
          </c:val>
          <c:extLst>
            <c:ext xmlns:c16="http://schemas.microsoft.com/office/drawing/2014/chart" uri="{C3380CC4-5D6E-409C-BE32-E72D297353CC}">
              <c16:uniqueId val="{00000005-E20D-4E36-B2A1-8DA2B41EFAB2}"/>
            </c:ext>
          </c:extLst>
        </c:ser>
        <c:dLbls>
          <c:showLegendKey val="0"/>
          <c:showVal val="0"/>
          <c:showCatName val="0"/>
          <c:showSerName val="0"/>
          <c:showPercent val="0"/>
          <c:showBubbleSize val="0"/>
        </c:dLbls>
        <c:gapWidth val="150"/>
        <c:overlap val="100"/>
        <c:axId val="1264208815"/>
        <c:axId val="1129352527"/>
      </c:barChart>
      <c:catAx>
        <c:axId val="1264208815"/>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129352527"/>
        <c:crosses val="autoZero"/>
        <c:auto val="1"/>
        <c:lblAlgn val="ctr"/>
        <c:lblOffset val="100"/>
        <c:noMultiLvlLbl val="0"/>
      </c:catAx>
      <c:valAx>
        <c:axId val="1129352527"/>
        <c:scaling>
          <c:logBase val="10"/>
          <c:orientation val="minMax"/>
        </c:scaling>
        <c:delete val="0"/>
        <c:axPos val="l"/>
        <c:majorGridlines>
          <c:spPr>
            <a:ln w="9525" cap="flat" cmpd="sng" algn="ctr">
              <a:solidFill>
                <a:schemeClr val="tx1">
                  <a:lumMod val="15000"/>
                  <a:lumOff val="85000"/>
                </a:schemeClr>
              </a:solidFill>
              <a:round/>
            </a:ln>
            <a:effectLst/>
          </c:spPr>
        </c:majorGridlines>
        <c:numFmt formatCode="#,##0.00\ &quot;€&quot;" sourceLinked="0"/>
        <c:majorTickMark val="none"/>
        <c:minorTickMark val="none"/>
        <c:tickLblPos val="low"/>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2642088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accent2"/>
                </a:solidFill>
                <a:latin typeface="Avenir Next LT Pro" panose="020B0504020202020204" pitchFamily="34" charset="0"/>
                <a:ea typeface="+mn-ea"/>
                <a:cs typeface="+mn-cs"/>
              </a:defRPr>
            </a:pPr>
            <a:r>
              <a:rPr lang="de-DE" b="1">
                <a:solidFill>
                  <a:schemeClr val="accent2"/>
                </a:solidFill>
                <a:latin typeface="Avenir Next LT Pro" panose="020B0504020202020204" pitchFamily="34" charset="0"/>
              </a:rPr>
              <a:t>Durschnittspreise</a:t>
            </a:r>
            <a:r>
              <a:rPr lang="de-DE" b="1" baseline="0">
                <a:solidFill>
                  <a:schemeClr val="accent2"/>
                </a:solidFill>
                <a:latin typeface="Avenir Next LT Pro" panose="020B0504020202020204" pitchFamily="34" charset="0"/>
              </a:rPr>
              <a:t> pro Artikelgruppe</a:t>
            </a:r>
            <a:br>
              <a:rPr lang="de-DE" b="1" baseline="0">
                <a:solidFill>
                  <a:schemeClr val="accent2"/>
                </a:solidFill>
                <a:latin typeface="Avenir Next LT Pro" panose="020B0504020202020204" pitchFamily="34" charset="0"/>
              </a:rPr>
            </a:br>
            <a:r>
              <a:rPr lang="de-DE" sz="1000" b="1" baseline="0">
                <a:solidFill>
                  <a:schemeClr val="accent2"/>
                </a:solidFill>
                <a:latin typeface="Avenir Next LT Pro" panose="020B0504020202020204" pitchFamily="34" charset="0"/>
              </a:rPr>
              <a:t>über alle Datenpunkte </a:t>
            </a:r>
            <a:endParaRPr lang="de-DE" sz="1000" b="1">
              <a:solidFill>
                <a:schemeClr val="accent2"/>
              </a:solidFill>
              <a:latin typeface="Avenir Next LT Pro" panose="020B0504020202020204" pitchFamily="34" charset="0"/>
            </a:endParaRP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accent2"/>
              </a:solidFill>
              <a:latin typeface="Avenir Next LT Pro" panose="020B0504020202020204" pitchFamily="34" charset="0"/>
              <a:ea typeface="+mn-ea"/>
              <a:cs typeface="+mn-cs"/>
            </a:defRPr>
          </a:pPr>
          <a:endParaRPr lang="de-DE"/>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venir Next LT Pro" panose="020B0504020202020204" pitchFamily="34" charset="0"/>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Preisentwicklung!$B$26:$K$26</c:f>
              <c:strCache>
                <c:ptCount val="10"/>
                <c:pt idx="0">
                  <c:v>MNS einfach</c:v>
                </c:pt>
                <c:pt idx="1">
                  <c:v>FFP2 ohne Ventil</c:v>
                </c:pt>
                <c:pt idx="2">
                  <c:v>FFP2 mit Ventil</c:v>
                </c:pt>
                <c:pt idx="3">
                  <c:v>FFP3 ohne Ventil</c:v>
                </c:pt>
                <c:pt idx="4">
                  <c:v>FFP3 mit Ventil</c:v>
                </c:pt>
                <c:pt idx="5">
                  <c:v>US-Handschuhe unsteril Latex</c:v>
                </c:pt>
                <c:pt idx="6">
                  <c:v>US-Handschuhe unsteril latexfrei</c:v>
                </c:pt>
                <c:pt idx="7">
                  <c:v>Kittel unverstärkt</c:v>
                </c:pt>
                <c:pt idx="8">
                  <c:v>Kittel verstärkt</c:v>
                </c:pt>
                <c:pt idx="9">
                  <c:v>Sichtschutz/-brille</c:v>
                </c:pt>
              </c:strCache>
            </c:strRef>
          </c:cat>
          <c:val>
            <c:numRef>
              <c:f>Preisentwicklung!$B$27:$K$27</c:f>
              <c:numCache>
                <c:formatCode>_-* #,##0.00\ [$€-407]_-;\-* #,##0.00\ [$€-407]_-;_-* "-"??\ [$€-407]_-;_-@_-</c:formatCode>
                <c:ptCount val="10"/>
                <c:pt idx="0">
                  <c:v>0.10907381284257904</c:v>
                </c:pt>
                <c:pt idx="1">
                  <c:v>1.9336279344729348</c:v>
                </c:pt>
                <c:pt idx="2">
                  <c:v>2.2373501542189906</c:v>
                </c:pt>
                <c:pt idx="3">
                  <c:v>2.8105794270833333</c:v>
                </c:pt>
                <c:pt idx="4">
                  <c:v>3.6811331944444441</c:v>
                </c:pt>
                <c:pt idx="5">
                  <c:v>3.0992666666666668E-2</c:v>
                </c:pt>
                <c:pt idx="6">
                  <c:v>2.6798194444444447E-2</c:v>
                </c:pt>
                <c:pt idx="7">
                  <c:v>0.49991164349429718</c:v>
                </c:pt>
                <c:pt idx="8">
                  <c:v>0.40437812500000003</c:v>
                </c:pt>
                <c:pt idx="9">
                  <c:v>1.8118416666666664</c:v>
                </c:pt>
              </c:numCache>
            </c:numRef>
          </c:val>
          <c:extLst>
            <c:ext xmlns:c16="http://schemas.microsoft.com/office/drawing/2014/chart" uri="{C3380CC4-5D6E-409C-BE32-E72D297353CC}">
              <c16:uniqueId val="{00000000-5111-456D-9248-17234BD23A2D}"/>
            </c:ext>
          </c:extLst>
        </c:ser>
        <c:dLbls>
          <c:showLegendKey val="0"/>
          <c:showVal val="0"/>
          <c:showCatName val="0"/>
          <c:showSerName val="0"/>
          <c:showPercent val="0"/>
          <c:showBubbleSize val="0"/>
        </c:dLbls>
        <c:gapWidth val="219"/>
        <c:overlap val="-27"/>
        <c:axId val="1629896207"/>
        <c:axId val="1271690879"/>
      </c:barChart>
      <c:catAx>
        <c:axId val="16298962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271690879"/>
        <c:crosses val="autoZero"/>
        <c:auto val="1"/>
        <c:lblAlgn val="ctr"/>
        <c:lblOffset val="100"/>
        <c:noMultiLvlLbl val="0"/>
      </c:catAx>
      <c:valAx>
        <c:axId val="1271690879"/>
        <c:scaling>
          <c:orientation val="minMax"/>
        </c:scaling>
        <c:delete val="0"/>
        <c:axPos val="l"/>
        <c:majorGridlines>
          <c:spPr>
            <a:ln w="9525" cap="flat" cmpd="sng" algn="ctr">
              <a:solidFill>
                <a:schemeClr val="tx1">
                  <a:lumMod val="15000"/>
                  <a:lumOff val="85000"/>
                </a:schemeClr>
              </a:solidFill>
              <a:round/>
            </a:ln>
            <a:effectLst/>
          </c:spPr>
        </c:majorGridlines>
        <c:numFmt formatCode="_-* #,##0.00\ [$€-407]_-;\-* #,##0.00\ [$€-407]_-;_-* &quot;-&quot;??\ [$€-407]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629896207"/>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de-DE" sz="1400" b="1" i="0" u="none" strike="noStrike" kern="1200" spc="0" baseline="0">
                <a:solidFill>
                  <a:schemeClr val="accent2"/>
                </a:solidFill>
                <a:latin typeface="Avenir Next LT Pro" panose="020B0504020202020204" pitchFamily="34" charset="0"/>
                <a:ea typeface="+mn-ea"/>
                <a:cs typeface="+mn-cs"/>
              </a:defRPr>
            </a:pPr>
            <a:r>
              <a:rPr lang="de-DE" sz="1400" b="1" i="0" u="none" strike="noStrike" kern="1200" spc="0" baseline="0">
                <a:solidFill>
                  <a:schemeClr val="accent2"/>
                </a:solidFill>
                <a:latin typeface="Avenir Next LT Pro" panose="020B0504020202020204" pitchFamily="34" charset="0"/>
                <a:ea typeface="+mn-ea"/>
                <a:cs typeface="+mn-cs"/>
              </a:rPr>
              <a:t>Preisentwicklung im Zeitverlauf</a:t>
            </a:r>
            <a:br>
              <a:rPr lang="de-DE" sz="1400" b="1" i="0" u="none" strike="noStrike" kern="1200" spc="0" baseline="0">
                <a:solidFill>
                  <a:schemeClr val="accent2"/>
                </a:solidFill>
                <a:latin typeface="Avenir Next LT Pro" panose="020B0504020202020204" pitchFamily="34" charset="0"/>
                <a:ea typeface="+mn-ea"/>
                <a:cs typeface="+mn-cs"/>
              </a:rPr>
            </a:br>
            <a:r>
              <a:rPr lang="de-DE" sz="1200" b="0" i="1" u="none" strike="noStrike" kern="1200" spc="0" baseline="0">
                <a:solidFill>
                  <a:schemeClr val="accent2"/>
                </a:solidFill>
                <a:latin typeface="Avenir Next LT Pro" panose="020B0504020202020204" pitchFamily="34" charset="0"/>
                <a:ea typeface="+mn-ea"/>
                <a:cs typeface="+mn-cs"/>
              </a:rPr>
              <a:t>Artikelgruppe MNS, FFP2 &amp; FFP3 Masken, Sichtschutz/- brille</a:t>
            </a:r>
            <a:endParaRPr lang="de-DE" sz="1400" b="0" i="1" u="none" strike="noStrike" kern="1200" spc="0" baseline="0">
              <a:solidFill>
                <a:schemeClr val="accent2"/>
              </a:solidFill>
              <a:latin typeface="Avenir Next LT Pro" panose="020B0504020202020204" pitchFamily="34" charset="0"/>
              <a:ea typeface="+mn-ea"/>
              <a:cs typeface="+mn-cs"/>
            </a:endParaRPr>
          </a:p>
        </c:rich>
      </c:tx>
      <c:overlay val="0"/>
      <c:spPr>
        <a:noFill/>
        <a:ln>
          <a:noFill/>
        </a:ln>
        <a:effectLst/>
      </c:spPr>
      <c:txPr>
        <a:bodyPr rot="0" spcFirstLastPara="1" vertOverflow="ellipsis" vert="horz" wrap="square" anchor="ctr" anchorCtr="1"/>
        <a:lstStyle/>
        <a:p>
          <a:pPr>
            <a:defRPr lang="de-DE" sz="1400" b="1" i="0" u="none" strike="noStrike" kern="1200" spc="0" baseline="0">
              <a:solidFill>
                <a:schemeClr val="accent2"/>
              </a:solidFill>
              <a:latin typeface="Avenir Next LT Pro" panose="020B0504020202020204" pitchFamily="34" charset="0"/>
              <a:ea typeface="+mn-ea"/>
              <a:cs typeface="+mn-cs"/>
            </a:defRPr>
          </a:pPr>
          <a:endParaRPr lang="de-DE"/>
        </a:p>
      </c:txPr>
    </c:title>
    <c:autoTitleDeleted val="0"/>
    <c:plotArea>
      <c:layout/>
      <c:lineChart>
        <c:grouping val="standard"/>
        <c:varyColors val="0"/>
        <c:ser>
          <c:idx val="0"/>
          <c:order val="0"/>
          <c:tx>
            <c:strRef>
              <c:f>Übersetzungstabelle!$A$2</c:f>
              <c:strCache>
                <c:ptCount val="1"/>
                <c:pt idx="0">
                  <c:v>MNS Einfach</c:v>
                </c:pt>
              </c:strCache>
            </c:strRef>
          </c:tx>
          <c:spPr>
            <a:ln w="28575" cap="rnd">
              <a:solidFill>
                <a:schemeClr val="accent1"/>
              </a:solidFill>
              <a:round/>
            </a:ln>
            <a:effectLst/>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1-FD2D-4F5C-BD20-2DEE387AFA0E}"/>
                </c:ext>
              </c:extLst>
            </c:dLbl>
            <c:dLbl>
              <c:idx val="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0-FD2D-4F5C-BD20-2DEE387AFA0E}"/>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F-FD2D-4F5C-BD20-2DEE387AFA0E}"/>
                </c:ext>
              </c:extLst>
            </c:dLbl>
            <c:dLbl>
              <c:idx val="3"/>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E-FD2D-4F5C-BD20-2DEE387AFA0E}"/>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D-FD2D-4F5C-BD20-2DEE387AFA0E}"/>
                </c:ext>
              </c:extLst>
            </c:dLbl>
            <c:dLbl>
              <c:idx val="5"/>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C-FD2D-4F5C-BD20-2DEE387AFA0E}"/>
                </c:ext>
              </c:extLst>
            </c:dLbl>
            <c:dLbl>
              <c:idx val="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B-FD2D-4F5C-BD20-2DEE387AFA0E}"/>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1"/>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Übersetzungstabelle!$B$2:$I$2</c:f>
              <c:numCache>
                <c:formatCode>_("€"* #,##0.00_);_("€"* \(#,##0.00\);_("€"* "-"??_);_(@_)</c:formatCode>
                <c:ptCount val="8"/>
                <c:pt idx="0">
                  <c:v>6.4000000000000001E-2</c:v>
                </c:pt>
                <c:pt idx="1">
                  <c:v>6.4000000000000001E-2</c:v>
                </c:pt>
                <c:pt idx="2">
                  <c:v>8.2145414591762153E-2</c:v>
                </c:pt>
                <c:pt idx="3">
                  <c:v>0.10968412213208278</c:v>
                </c:pt>
                <c:pt idx="4">
                  <c:v>0.11366749698113976</c:v>
                </c:pt>
                <c:pt idx="5">
                  <c:v>0.14119346903564753</c:v>
                </c:pt>
                <c:pt idx="6">
                  <c:v>0.24440000000000001</c:v>
                </c:pt>
                <c:pt idx="7">
                  <c:v>5.3500000000000006E-2</c:v>
                </c:pt>
              </c:numCache>
            </c:numRef>
          </c:val>
          <c:smooth val="0"/>
          <c:extLst>
            <c:ext xmlns:c16="http://schemas.microsoft.com/office/drawing/2014/chart" uri="{C3380CC4-5D6E-409C-BE32-E72D297353CC}">
              <c16:uniqueId val="{00000000-FD2D-4F5C-BD20-2DEE387AFA0E}"/>
            </c:ext>
          </c:extLst>
        </c:ser>
        <c:ser>
          <c:idx val="1"/>
          <c:order val="1"/>
          <c:tx>
            <c:strRef>
              <c:f>Übersetzungstabelle!$A$3</c:f>
              <c:strCache>
                <c:ptCount val="1"/>
                <c:pt idx="0">
                  <c:v>FFP2 ohne Ventil</c:v>
                </c:pt>
              </c:strCache>
            </c:strRef>
          </c:tx>
          <c:spPr>
            <a:ln w="28575" cap="rnd">
              <a:solidFill>
                <a:schemeClr val="accent2"/>
              </a:solidFill>
              <a:round/>
            </a:ln>
            <a:effectLst/>
          </c:spPr>
          <c:marker>
            <c:symbol val="none"/>
          </c:marker>
          <c:dLbls>
            <c:dLbl>
              <c:idx val="0"/>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FD2D-4F5C-BD20-2DEE387AFA0E}"/>
                </c:ext>
              </c:extLst>
            </c:dLbl>
            <c:dLbl>
              <c:idx val="1"/>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B-FD2D-4F5C-BD20-2DEE387AFA0E}"/>
                </c:ext>
              </c:extLst>
            </c:dLbl>
            <c:dLbl>
              <c:idx val="2"/>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FD2D-4F5C-BD20-2DEE387AFA0E}"/>
                </c:ext>
              </c:extLst>
            </c:dLbl>
            <c:dLbl>
              <c:idx val="3"/>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9-FD2D-4F5C-BD20-2DEE387AFA0E}"/>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FD2D-4F5C-BD20-2DEE387AFA0E}"/>
                </c:ext>
              </c:extLst>
            </c:dLbl>
            <c:dLbl>
              <c:idx val="5"/>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FD2D-4F5C-BD20-2DEE387AFA0E}"/>
                </c:ext>
              </c:extLst>
            </c:dLbl>
            <c:dLbl>
              <c:idx val="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FD2D-4F5C-BD20-2DEE387AFA0E}"/>
                </c:ext>
              </c:extLst>
            </c:dLbl>
            <c:dLbl>
              <c:idx val="7"/>
              <c:spPr>
                <a:solidFill>
                  <a:schemeClr val="bg1"/>
                </a:solid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2"/>
                      </a:solidFill>
                      <a:latin typeface="Avenir Next LT Pro" panose="020B0504020202020204" pitchFamily="34" charset="0"/>
                      <a:ea typeface="+mn-ea"/>
                      <a:cs typeface="+mn-cs"/>
                    </a:defRPr>
                  </a:pPr>
                  <a:endParaRPr lang="de-DE"/>
                </a:p>
              </c:txPr>
              <c:dLblPos val="r"/>
              <c:showLegendKey val="0"/>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4C-FD2D-4F5C-BD20-2DEE387AFA0E}"/>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2"/>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Übersetzungstabelle!$B$3:$I$3</c:f>
              <c:numCache>
                <c:formatCode>_("€"* #,##0.00_);_("€"* \(#,##0.00\);_("€"* "-"??_);_(@_)</c:formatCode>
                <c:ptCount val="8"/>
                <c:pt idx="0">
                  <c:v>1.1375833333333334</c:v>
                </c:pt>
                <c:pt idx="1">
                  <c:v>1.1375833333333334</c:v>
                </c:pt>
                <c:pt idx="2">
                  <c:v>1.2704818091168091</c:v>
                </c:pt>
                <c:pt idx="3">
                  <c:v>2.5464375000000001</c:v>
                </c:pt>
                <c:pt idx="4">
                  <c:v>2.5377500000000004</c:v>
                </c:pt>
                <c:pt idx="5">
                  <c:v>2.9666875000000004</c:v>
                </c:pt>
                <c:pt idx="6">
                  <c:v>2.2725</c:v>
                </c:pt>
                <c:pt idx="7">
                  <c:v>1.6</c:v>
                </c:pt>
              </c:numCache>
            </c:numRef>
          </c:val>
          <c:smooth val="0"/>
          <c:extLst>
            <c:ext xmlns:c16="http://schemas.microsoft.com/office/drawing/2014/chart" uri="{C3380CC4-5D6E-409C-BE32-E72D297353CC}">
              <c16:uniqueId val="{00000001-FD2D-4F5C-BD20-2DEE387AFA0E}"/>
            </c:ext>
          </c:extLst>
        </c:ser>
        <c:ser>
          <c:idx val="2"/>
          <c:order val="2"/>
          <c:tx>
            <c:strRef>
              <c:f>Übersetzungstabelle!$A$4</c:f>
              <c:strCache>
                <c:ptCount val="1"/>
                <c:pt idx="0">
                  <c:v>FFP2 mit Ventil</c:v>
                </c:pt>
              </c:strCache>
            </c:strRef>
          </c:tx>
          <c:spPr>
            <a:ln w="28575" cap="rnd">
              <a:solidFill>
                <a:schemeClr val="accent3"/>
              </a:solidFill>
              <a:round/>
            </a:ln>
            <a:effectLst/>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FD2D-4F5C-BD20-2DEE387AFA0E}"/>
                </c:ext>
              </c:extLst>
            </c:dLbl>
            <c:dLbl>
              <c:idx val="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FD2D-4F5C-BD20-2DEE387AFA0E}"/>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FD2D-4F5C-BD20-2DEE387AFA0E}"/>
                </c:ext>
              </c:extLst>
            </c:dLbl>
            <c:dLbl>
              <c:idx val="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FD2D-4F5C-BD20-2DEE387AFA0E}"/>
                </c:ext>
              </c:extLst>
            </c:dLbl>
            <c:dLbl>
              <c:idx val="4"/>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FD2D-4F5C-BD20-2DEE387AFA0E}"/>
                </c:ext>
              </c:extLst>
            </c:dLbl>
            <c:dLbl>
              <c:idx val="5"/>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FD2D-4F5C-BD20-2DEE387AFA0E}"/>
                </c:ext>
              </c:extLst>
            </c:dLbl>
            <c:dLbl>
              <c:idx val="6"/>
              <c:layout>
                <c:manualLayout>
                  <c:x val="-2.9502556950255696E-2"/>
                  <c:y val="-1.62203031072728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FD2D-4F5C-BD20-2DEE387AFA0E}"/>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3"/>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Übersetzungstabelle!$B$4:$I$4</c:f>
              <c:numCache>
                <c:formatCode>_("€"* #,##0.00_);_("€"* \(#,##0.00\);_("€"* "-"??_);_(@_)</c:formatCode>
                <c:ptCount val="8"/>
                <c:pt idx="0">
                  <c:v>1.6519999999999999</c:v>
                </c:pt>
                <c:pt idx="1">
                  <c:v>1.6519999999999999</c:v>
                </c:pt>
                <c:pt idx="2">
                  <c:v>1.5076404494382023</c:v>
                </c:pt>
                <c:pt idx="3">
                  <c:v>2.9267901960784317</c:v>
                </c:pt>
                <c:pt idx="4">
                  <c:v>2.280185294117647</c:v>
                </c:pt>
                <c:pt idx="5">
                  <c:v>2.280185294117647</c:v>
                </c:pt>
                <c:pt idx="6">
                  <c:v>2.1</c:v>
                </c:pt>
                <c:pt idx="7">
                  <c:v>3.5</c:v>
                </c:pt>
              </c:numCache>
            </c:numRef>
          </c:val>
          <c:smooth val="0"/>
          <c:extLst>
            <c:ext xmlns:c16="http://schemas.microsoft.com/office/drawing/2014/chart" uri="{C3380CC4-5D6E-409C-BE32-E72D297353CC}">
              <c16:uniqueId val="{00000002-FD2D-4F5C-BD20-2DEE387AFA0E}"/>
            </c:ext>
          </c:extLst>
        </c:ser>
        <c:ser>
          <c:idx val="3"/>
          <c:order val="3"/>
          <c:tx>
            <c:strRef>
              <c:f>Übersetzungstabelle!$A$5</c:f>
              <c:strCache>
                <c:ptCount val="1"/>
                <c:pt idx="0">
                  <c:v>FFP3 ohne Ventil</c:v>
                </c:pt>
              </c:strCache>
            </c:strRef>
          </c:tx>
          <c:spPr>
            <a:ln w="28575" cap="rnd">
              <a:solidFill>
                <a:schemeClr val="accent4"/>
              </a:solidFill>
              <a:round/>
            </a:ln>
            <a:effectLst/>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FD2D-4F5C-BD20-2DEE387AFA0E}"/>
                </c:ext>
              </c:extLst>
            </c:dLbl>
            <c:dLbl>
              <c:idx val="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FD2D-4F5C-BD20-2DEE387AFA0E}"/>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FD2D-4F5C-BD20-2DEE387AFA0E}"/>
                </c:ext>
              </c:extLst>
            </c:dLbl>
            <c:dLbl>
              <c:idx val="3"/>
              <c:layout>
                <c:manualLayout>
                  <c:x val="-3.4151557415155812E-2"/>
                  <c:y val="-2.679028024722716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FD2D-4F5C-BD20-2DEE387AFA0E}"/>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FD2D-4F5C-BD20-2DEE387AFA0E}"/>
                </c:ext>
              </c:extLst>
            </c:dLbl>
            <c:dLbl>
              <c:idx val="5"/>
              <c:layout>
                <c:manualLayout>
                  <c:x val="3.1025114980963117E-3"/>
                  <c:y val="-3.3434773910370548E-3"/>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FD2D-4F5C-BD20-2DEE387AFA0E}"/>
                </c:ext>
              </c:extLst>
            </c:dLbl>
            <c:dLbl>
              <c:idx val="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FD2D-4F5C-BD20-2DEE387AFA0E}"/>
                </c:ext>
              </c:extLst>
            </c:dLbl>
            <c:dLbl>
              <c:idx val="7"/>
              <c:layout>
                <c:manualLayout>
                  <c:x val="-5.3090853183102426E-3"/>
                  <c:y val="2.482262297857929E-2"/>
                </c:manualLayout>
              </c:layout>
              <c:spPr>
                <a:solidFill>
                  <a:schemeClr val="bg1"/>
                </a:solid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4"/>
                      </a:solidFill>
                      <a:latin typeface="Avenir Next LT Pro" panose="020B0504020202020204" pitchFamily="34" charset="0"/>
                      <a:ea typeface="+mn-ea"/>
                      <a:cs typeface="+mn-cs"/>
                    </a:defRPr>
                  </a:pPr>
                  <a:endParaRPr lang="de-DE"/>
                </a:p>
              </c:txPr>
              <c:dLblPos val="r"/>
              <c:showLegendKey val="0"/>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2-A967-4111-A7B8-8B4705ECC7DC}"/>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4"/>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Übersetzungstabelle!$B$5:$I$5</c:f>
              <c:numCache>
                <c:formatCode>_("€"* #,##0.00_);_("€"* \(#,##0.00\);_("€"* "-"??_);_(@_)</c:formatCode>
                <c:ptCount val="8"/>
                <c:pt idx="0">
                  <c:v>2.4933333333333336</c:v>
                </c:pt>
                <c:pt idx="1">
                  <c:v>2.4933333333333336</c:v>
                </c:pt>
                <c:pt idx="2">
                  <c:v>2.4933333333333336</c:v>
                </c:pt>
                <c:pt idx="3">
                  <c:v>2.7645312500000001</c:v>
                </c:pt>
                <c:pt idx="4">
                  <c:v>3.7260416666666667</c:v>
                </c:pt>
                <c:pt idx="5">
                  <c:v>2.1140625000000002</c:v>
                </c:pt>
                <c:pt idx="6">
                  <c:v>3.2</c:v>
                </c:pt>
                <c:pt idx="7">
                  <c:v>3.2</c:v>
                </c:pt>
              </c:numCache>
            </c:numRef>
          </c:val>
          <c:smooth val="0"/>
          <c:extLst>
            <c:ext xmlns:c16="http://schemas.microsoft.com/office/drawing/2014/chart" uri="{C3380CC4-5D6E-409C-BE32-E72D297353CC}">
              <c16:uniqueId val="{00000003-FD2D-4F5C-BD20-2DEE387AFA0E}"/>
            </c:ext>
          </c:extLst>
        </c:ser>
        <c:ser>
          <c:idx val="4"/>
          <c:order val="4"/>
          <c:tx>
            <c:strRef>
              <c:f>Übersetzungstabelle!$A$6</c:f>
              <c:strCache>
                <c:ptCount val="1"/>
                <c:pt idx="0">
                  <c:v>FFP3 mit Ventil</c:v>
                </c:pt>
              </c:strCache>
            </c:strRef>
          </c:tx>
          <c:spPr>
            <a:ln w="28575" cap="rnd">
              <a:solidFill>
                <a:schemeClr val="accent6"/>
              </a:solidFill>
              <a:round/>
            </a:ln>
            <a:effectLst/>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FD2D-4F5C-BD20-2DEE387AFA0E}"/>
                </c:ext>
              </c:extLst>
            </c:dLbl>
            <c:dLbl>
              <c:idx val="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FD2D-4F5C-BD20-2DEE387AFA0E}"/>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FD2D-4F5C-BD20-2DEE387AFA0E}"/>
                </c:ext>
              </c:extLst>
            </c:dLbl>
            <c:dLbl>
              <c:idx val="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FD2D-4F5C-BD20-2DEE387AFA0E}"/>
                </c:ext>
              </c:extLst>
            </c:dLbl>
            <c:dLbl>
              <c:idx val="4"/>
              <c:layout>
                <c:manualLayout>
                  <c:x val="-2.5898091369695325E-2"/>
                  <c:y val="2.673472785594498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FD2D-4F5C-BD20-2DEE387AFA0E}"/>
                </c:ext>
              </c:extLst>
            </c:dLbl>
            <c:dLbl>
              <c:idx val="5"/>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FD2D-4F5C-BD20-2DEE387AFA0E}"/>
                </c:ext>
              </c:extLst>
            </c:dLbl>
            <c:dLbl>
              <c:idx val="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FD2D-4F5C-BD20-2DEE387AFA0E}"/>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6"/>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Übersetzungstabelle!$B$6:$I$6</c:f>
              <c:numCache>
                <c:formatCode>_("€"* #,##0.00_);_("€"* \(#,##0.00\);_("€"* "-"??_);_(@_)</c:formatCode>
                <c:ptCount val="8"/>
                <c:pt idx="0">
                  <c:v>3.3201999999999998</c:v>
                </c:pt>
                <c:pt idx="1">
                  <c:v>3.3201999999999998</c:v>
                </c:pt>
                <c:pt idx="2">
                  <c:v>3.3201999999999998</c:v>
                </c:pt>
                <c:pt idx="3">
                  <c:v>3.5296466666666668</c:v>
                </c:pt>
                <c:pt idx="4">
                  <c:v>3.6413722222222229</c:v>
                </c:pt>
                <c:pt idx="5">
                  <c:v>3.9174466666666667</c:v>
                </c:pt>
                <c:pt idx="6">
                  <c:v>4.2</c:v>
                </c:pt>
                <c:pt idx="7">
                  <c:v>4.2</c:v>
                </c:pt>
              </c:numCache>
            </c:numRef>
          </c:val>
          <c:smooth val="0"/>
          <c:extLst>
            <c:ext xmlns:c16="http://schemas.microsoft.com/office/drawing/2014/chart" uri="{C3380CC4-5D6E-409C-BE32-E72D297353CC}">
              <c16:uniqueId val="{00000004-FD2D-4F5C-BD20-2DEE387AFA0E}"/>
            </c:ext>
          </c:extLst>
        </c:ser>
        <c:ser>
          <c:idx val="5"/>
          <c:order val="5"/>
          <c:tx>
            <c:strRef>
              <c:f>Übersetzungstabelle!$A$11</c:f>
              <c:strCache>
                <c:ptCount val="1"/>
                <c:pt idx="0">
                  <c:v>Sichtschutz/-brille</c:v>
                </c:pt>
              </c:strCache>
            </c:strRef>
          </c:tx>
          <c:spPr>
            <a:ln w="28575" cap="rnd">
              <a:solidFill>
                <a:srgbClr val="C00000"/>
              </a:solidFill>
              <a:round/>
            </a:ln>
            <a:effectLst/>
          </c:spPr>
          <c:marker>
            <c:symbol val="none"/>
          </c:marker>
          <c:dLbls>
            <c:dLbl>
              <c:idx val="0"/>
              <c:layout>
                <c:manualLayout>
                  <c:x val="-2.2064156206415636E-2"/>
                  <c:y val="1.818829904326475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3DA-4DE3-AD63-4E1A691CB035}"/>
                </c:ext>
              </c:extLst>
            </c:dLbl>
            <c:dLbl>
              <c:idx val="1"/>
              <c:layout>
                <c:manualLayout>
                  <c:x val="-2.2064156206415622E-2"/>
                  <c:y val="1.818829904326475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3DA-4DE3-AD63-4E1A691CB035}"/>
                </c:ext>
              </c:extLst>
            </c:dLbl>
            <c:dLbl>
              <c:idx val="2"/>
              <c:layout>
                <c:manualLayout>
                  <c:x val="-3.1403543580105157E-2"/>
                  <c:y val="1.802886390581795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3DA-4DE3-AD63-4E1A691CB035}"/>
                </c:ext>
              </c:extLst>
            </c:dLbl>
            <c:dLbl>
              <c:idx val="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3DA-4DE3-AD63-4E1A691CB035}"/>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3DA-4DE3-AD63-4E1A691CB035}"/>
                </c:ext>
              </c:extLst>
            </c:dLbl>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3DA-4DE3-AD63-4E1A691CB035}"/>
                </c:ext>
              </c:extLst>
            </c:dLbl>
            <c:dLbl>
              <c:idx val="6"/>
              <c:layout>
                <c:manualLayout>
                  <c:x val="-1.7666201766620176E-2"/>
                  <c:y val="2.580645161290314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3DA-4DE3-AD63-4E1A691CB035}"/>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rgbClr val="C00000"/>
                    </a:solidFill>
                    <a:latin typeface="Avenir Next LT Pro" panose="020B0504020202020204" pitchFamily="34" charset="0"/>
                    <a:ea typeface="+mn-ea"/>
                    <a:cs typeface="+mn-cs"/>
                  </a:defRPr>
                </a:pPr>
                <a:endParaRPr lang="de-DE"/>
              </a:p>
            </c:txPr>
            <c:dLblPos val="b"/>
            <c:showLegendKey val="0"/>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Übersetzungstabelle!$B$11:$I$11</c:f>
              <c:numCache>
                <c:formatCode>_("€"* #,##0.00_);_("€"* \(#,##0.00\);_("€"* "-"??_);_(@_)</c:formatCode>
                <c:ptCount val="8"/>
                <c:pt idx="0">
                  <c:v>1.4798</c:v>
                </c:pt>
                <c:pt idx="1">
                  <c:v>1.4798</c:v>
                </c:pt>
                <c:pt idx="2">
                  <c:v>1.4798</c:v>
                </c:pt>
                <c:pt idx="3">
                  <c:v>1.9198333333333337</c:v>
                </c:pt>
                <c:pt idx="4">
                  <c:v>2.6659999999999995</c:v>
                </c:pt>
                <c:pt idx="5">
                  <c:v>1.9775</c:v>
                </c:pt>
                <c:pt idx="6">
                  <c:v>2.0420000000000003</c:v>
                </c:pt>
                <c:pt idx="7">
                  <c:v>1.45</c:v>
                </c:pt>
              </c:numCache>
            </c:numRef>
          </c:val>
          <c:smooth val="0"/>
          <c:extLst>
            <c:ext xmlns:c16="http://schemas.microsoft.com/office/drawing/2014/chart" uri="{C3380CC4-5D6E-409C-BE32-E72D297353CC}">
              <c16:uniqueId val="{00000001-A967-4111-A7B8-8B4705ECC7DC}"/>
            </c:ext>
          </c:extLst>
        </c:ser>
        <c:dLbls>
          <c:showLegendKey val="0"/>
          <c:showVal val="0"/>
          <c:showCatName val="0"/>
          <c:showSerName val="0"/>
          <c:showPercent val="0"/>
          <c:showBubbleSize val="0"/>
        </c:dLbls>
        <c:smooth val="0"/>
        <c:axId val="1991711792"/>
        <c:axId val="1848951904"/>
      </c:lineChart>
      <c:catAx>
        <c:axId val="1991711792"/>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848951904"/>
        <c:crosses val="autoZero"/>
        <c:auto val="0"/>
        <c:lblAlgn val="ctr"/>
        <c:lblOffset val="100"/>
        <c:tickLblSkip val="1"/>
        <c:tickMarkSkip val="1"/>
        <c:noMultiLvlLbl val="0"/>
      </c:catAx>
      <c:valAx>
        <c:axId val="1848951904"/>
        <c:scaling>
          <c:orientation val="minMax"/>
          <c:max val="5.5"/>
          <c:min val="0"/>
        </c:scaling>
        <c:delete val="0"/>
        <c:axPos val="l"/>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991711792"/>
        <c:crosses val="autoZero"/>
        <c:crossBetween val="between"/>
        <c:majorUnit val="0.30000000000000004"/>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lang="de-DE" sz="1400" b="1" i="0" u="none" strike="noStrike" kern="1200" spc="0" baseline="0">
                <a:solidFill>
                  <a:schemeClr val="accent2"/>
                </a:solidFill>
                <a:latin typeface="Avenir Next LT Pro" panose="020B0504020202020204" pitchFamily="34" charset="0"/>
                <a:ea typeface="+mn-ea"/>
                <a:cs typeface="+mn-cs"/>
              </a:defRPr>
            </a:pPr>
            <a:r>
              <a:rPr lang="de-DE" sz="1400" b="1" i="0" u="none" strike="noStrike" kern="1200" spc="0" baseline="0">
                <a:solidFill>
                  <a:schemeClr val="accent2"/>
                </a:solidFill>
                <a:latin typeface="Avenir Next LT Pro" panose="020B0504020202020204" pitchFamily="34" charset="0"/>
                <a:ea typeface="+mn-ea"/>
                <a:cs typeface="+mn-cs"/>
              </a:rPr>
              <a:t>Preisentwicklung im Zeitverlauf</a:t>
            </a:r>
          </a:p>
          <a:p>
            <a:pPr>
              <a:defRPr lang="de-DE" b="1">
                <a:solidFill>
                  <a:schemeClr val="accent2"/>
                </a:solidFill>
                <a:latin typeface="Avenir Next LT Pro" panose="020B0504020202020204" pitchFamily="34" charset="0"/>
              </a:defRPr>
            </a:pPr>
            <a:r>
              <a:rPr lang="de-DE" sz="1200" b="0" i="1" u="none" strike="noStrike" kern="1200" spc="0" baseline="0">
                <a:solidFill>
                  <a:schemeClr val="accent2"/>
                </a:solidFill>
                <a:latin typeface="Avenir Next LT Pro" panose="020B0504020202020204" pitchFamily="34" charset="0"/>
                <a:ea typeface="+mn-ea"/>
                <a:cs typeface="+mn-cs"/>
              </a:rPr>
              <a:t>Artikelgruppe Kittel und Handschuhe</a:t>
            </a:r>
          </a:p>
        </c:rich>
      </c:tx>
      <c:overlay val="0"/>
      <c:spPr>
        <a:noFill/>
        <a:ln>
          <a:noFill/>
        </a:ln>
        <a:effectLst/>
      </c:spPr>
      <c:txPr>
        <a:bodyPr rot="0" spcFirstLastPara="1" vertOverflow="ellipsis" vert="horz" wrap="square" anchor="ctr" anchorCtr="1"/>
        <a:lstStyle/>
        <a:p>
          <a:pPr>
            <a:defRPr lang="de-DE" sz="1400" b="1" i="0" u="none" strike="noStrike" kern="1200" spc="0" baseline="0">
              <a:solidFill>
                <a:schemeClr val="accent2"/>
              </a:solidFill>
              <a:latin typeface="Avenir Next LT Pro" panose="020B0504020202020204" pitchFamily="34" charset="0"/>
              <a:ea typeface="+mn-ea"/>
              <a:cs typeface="+mn-cs"/>
            </a:defRPr>
          </a:pPr>
          <a:endParaRPr lang="de-DE"/>
        </a:p>
      </c:txPr>
    </c:title>
    <c:autoTitleDeleted val="0"/>
    <c:plotArea>
      <c:layout/>
      <c:lineChart>
        <c:grouping val="standard"/>
        <c:varyColors val="0"/>
        <c:ser>
          <c:idx val="0"/>
          <c:order val="0"/>
          <c:tx>
            <c:strRef>
              <c:f>Übersetzungstabelle!$A$7</c:f>
              <c:strCache>
                <c:ptCount val="1"/>
                <c:pt idx="0">
                  <c:v>US-Handschuhe unsteril Latex</c:v>
                </c:pt>
              </c:strCache>
            </c:strRef>
          </c:tx>
          <c:spPr>
            <a:ln w="28575" cap="rnd">
              <a:solidFill>
                <a:srgbClr val="C00000"/>
              </a:solidFill>
              <a:round/>
            </a:ln>
            <a:effectLst/>
          </c:spPr>
          <c:marker>
            <c:symbol val="none"/>
          </c:marker>
          <c:dLbls>
            <c:dLbl>
              <c:idx val="0"/>
              <c:layout>
                <c:manualLayout>
                  <c:x val="-2.1134356113435612E-2"/>
                  <c:y val="2.36734894996696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1-FD2D-4F5C-BD20-2DEE387AFA0E}"/>
                </c:ext>
              </c:extLst>
            </c:dLbl>
            <c:dLbl>
              <c:idx val="1"/>
              <c:layout>
                <c:manualLayout>
                  <c:x val="-2.2064156206415653E-2"/>
                  <c:y val="2.36734894996696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0-FD2D-4F5C-BD20-2DEE387AFA0E}"/>
                </c:ext>
              </c:extLst>
            </c:dLbl>
            <c:dLbl>
              <c:idx val="2"/>
              <c:layout>
                <c:manualLayout>
                  <c:x val="-2.2064156206415622E-2"/>
                  <c:y val="2.36734894996696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F-FD2D-4F5C-BD20-2DEE387AFA0E}"/>
                </c:ext>
              </c:extLst>
            </c:dLbl>
            <c:dLbl>
              <c:idx val="3"/>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E-FD2D-4F5C-BD20-2DEE387AFA0E}"/>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D-FD2D-4F5C-BD20-2DEE387AFA0E}"/>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rgbClr val="C00000"/>
                    </a:solidFill>
                    <a:latin typeface="Avenir Next LT Pro" panose="020B0504020202020204" pitchFamily="34" charset="0"/>
                    <a:ea typeface="+mn-ea"/>
                    <a:cs typeface="+mn-cs"/>
                  </a:defRPr>
                </a:pPr>
                <a:endParaRPr lang="de-DE"/>
              </a:p>
            </c:txPr>
            <c:dLblPos val="r"/>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Übersetzungstabelle!$B$7:$I$7</c:f>
              <c:numCache>
                <c:formatCode>_("€"* #,##0.00_);_("€"* \(#,##0.00\);_("€"* "-"??_);_(@_)</c:formatCode>
                <c:ptCount val="8"/>
                <c:pt idx="0">
                  <c:v>2.2499999999999999E-2</c:v>
                </c:pt>
                <c:pt idx="1">
                  <c:v>2.2499999999999999E-2</c:v>
                </c:pt>
                <c:pt idx="2">
                  <c:v>2.2499999999999999E-2</c:v>
                </c:pt>
                <c:pt idx="3">
                  <c:v>4.2963333333333333E-2</c:v>
                </c:pt>
                <c:pt idx="4">
                  <c:v>4.4499999999999998E-2</c:v>
                </c:pt>
                <c:pt idx="5">
                  <c:v>0</c:v>
                </c:pt>
                <c:pt idx="6">
                  <c:v>0</c:v>
                </c:pt>
                <c:pt idx="7">
                  <c:v>0</c:v>
                </c:pt>
              </c:numCache>
            </c:numRef>
          </c:val>
          <c:smooth val="0"/>
          <c:extLst>
            <c:ext xmlns:c16="http://schemas.microsoft.com/office/drawing/2014/chart" uri="{C3380CC4-5D6E-409C-BE32-E72D297353CC}">
              <c16:uniqueId val="{00000000-FD2D-4F5C-BD20-2DEE387AFA0E}"/>
            </c:ext>
          </c:extLst>
        </c:ser>
        <c:ser>
          <c:idx val="1"/>
          <c:order val="1"/>
          <c:tx>
            <c:strRef>
              <c:f>Übersetzungstabelle!$A$8</c:f>
              <c:strCache>
                <c:ptCount val="1"/>
                <c:pt idx="0">
                  <c:v>US-Handschuhe unsteril latexfrei</c:v>
                </c:pt>
              </c:strCache>
            </c:strRef>
          </c:tx>
          <c:spPr>
            <a:ln w="28575" cap="rnd">
              <a:solidFill>
                <a:srgbClr val="0070C0"/>
              </a:solidFill>
              <a:round/>
            </a:ln>
            <a:effectLst/>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FD2D-4F5C-BD20-2DEE387AFA0E}"/>
                </c:ext>
              </c:extLst>
            </c:dLbl>
            <c:dLbl>
              <c:idx val="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B-FD2D-4F5C-BD20-2DEE387AFA0E}"/>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FD2D-4F5C-BD20-2DEE387AFA0E}"/>
                </c:ext>
              </c:extLst>
            </c:dLbl>
            <c:dLbl>
              <c:idx val="3"/>
              <c:layout>
                <c:manualLayout>
                  <c:x val="-2.1134356113435612E-2"/>
                  <c:y val="2.6176618410808605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9-FD2D-4F5C-BD20-2DEE387AFA0E}"/>
                </c:ext>
              </c:extLst>
            </c:dLbl>
            <c:dLbl>
              <c:idx val="4"/>
              <c:layout>
                <c:manualLayout>
                  <c:x val="-2.2064156206415622E-2"/>
                  <c:y val="2.367348949966986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FD2D-4F5C-BD20-2DEE387AFA0E}"/>
                </c:ext>
              </c:extLst>
            </c:dLbl>
            <c:dLbl>
              <c:idx val="5"/>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FD2D-4F5C-BD20-2DEE387AFA0E}"/>
                </c:ext>
              </c:extLst>
            </c:dLbl>
            <c:dLbl>
              <c:idx val="6"/>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FD2D-4F5C-BD20-2DEE387AFA0E}"/>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rgbClr val="0070C0"/>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Übersetzungstabelle!$B$8:$I$8</c:f>
              <c:numCache>
                <c:formatCode>_("€"* #,##0.00_);_("€"* \(#,##0.00\);_("€"* "-"??_);_(@_)</c:formatCode>
                <c:ptCount val="8"/>
                <c:pt idx="0">
                  <c:v>2.6249999999999999E-2</c:v>
                </c:pt>
                <c:pt idx="1">
                  <c:v>2.6249999999999999E-2</c:v>
                </c:pt>
                <c:pt idx="2">
                  <c:v>2.6249999999999999E-2</c:v>
                </c:pt>
                <c:pt idx="3">
                  <c:v>2.9785555555555558E-2</c:v>
                </c:pt>
                <c:pt idx="4">
                  <c:v>2.5100000000000001E-2</c:v>
                </c:pt>
                <c:pt idx="5">
                  <c:v>2.5100000000000001E-2</c:v>
                </c:pt>
                <c:pt idx="6">
                  <c:v>2.5100000000000001E-2</c:v>
                </c:pt>
                <c:pt idx="7">
                  <c:v>3.0550000000000001E-2</c:v>
                </c:pt>
              </c:numCache>
            </c:numRef>
          </c:val>
          <c:smooth val="0"/>
          <c:extLst>
            <c:ext xmlns:c16="http://schemas.microsoft.com/office/drawing/2014/chart" uri="{C3380CC4-5D6E-409C-BE32-E72D297353CC}">
              <c16:uniqueId val="{00000001-FD2D-4F5C-BD20-2DEE387AFA0E}"/>
            </c:ext>
          </c:extLst>
        </c:ser>
        <c:ser>
          <c:idx val="2"/>
          <c:order val="2"/>
          <c:tx>
            <c:strRef>
              <c:f>Übersetzungstabelle!$A$9</c:f>
              <c:strCache>
                <c:ptCount val="1"/>
                <c:pt idx="0">
                  <c:v>Kittel unverstärkt</c:v>
                </c:pt>
              </c:strCache>
            </c:strRef>
          </c:tx>
          <c:spPr>
            <a:ln w="28575" cap="rnd">
              <a:solidFill>
                <a:schemeClr val="accent3"/>
              </a:solidFill>
              <a:round/>
            </a:ln>
            <a:effectLst/>
          </c:spPr>
          <c:marker>
            <c:symbol val="none"/>
          </c:marker>
          <c:dLbls>
            <c:dLbl>
              <c:idx val="0"/>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FD2D-4F5C-BD20-2DEE387AFA0E}"/>
                </c:ext>
              </c:extLst>
            </c:dLbl>
            <c:dLbl>
              <c:idx val="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FD2D-4F5C-BD20-2DEE387AFA0E}"/>
                </c:ext>
              </c:extLst>
            </c:dLbl>
            <c:dLbl>
              <c:idx val="2"/>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FD2D-4F5C-BD20-2DEE387AFA0E}"/>
                </c:ext>
              </c:extLst>
            </c:dLbl>
            <c:dLbl>
              <c:idx val="3"/>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FD2D-4F5C-BD20-2DEE387AFA0E}"/>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FD2D-4F5C-BD20-2DEE387AFA0E}"/>
                </c:ext>
              </c:extLst>
            </c:dLbl>
            <c:dLbl>
              <c:idx val="5"/>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FD2D-4F5C-BD20-2DEE387AFA0E}"/>
                </c:ext>
              </c:extLst>
            </c:dLbl>
            <c:dLbl>
              <c:idx val="6"/>
              <c:layout>
                <c:manualLayout>
                  <c:x val="-3.8800557880055923E-2"/>
                  <c:y val="-2.867955022518309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FD2D-4F5C-BD20-2DEE387AFA0E}"/>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3"/>
                    </a:solidFill>
                    <a:latin typeface="Avenir Next LT Pro" panose="020B0504020202020204" pitchFamily="34" charset="0"/>
                    <a:ea typeface="+mn-ea"/>
                    <a:cs typeface="+mn-cs"/>
                  </a:defRPr>
                </a:pPr>
                <a:endParaRPr lang="de-DE"/>
              </a:p>
            </c:txPr>
            <c:dLblPos val="t"/>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Übersetzungstabelle!$B$9:$I$9</c:f>
              <c:numCache>
                <c:formatCode>_("€"* #,##0.00_);_("€"* \(#,##0.00\);_("€"* "-"??_);_(@_)</c:formatCode>
                <c:ptCount val="8"/>
                <c:pt idx="0">
                  <c:v>0.43120833333333336</c:v>
                </c:pt>
                <c:pt idx="1">
                  <c:v>0.43120833333333336</c:v>
                </c:pt>
                <c:pt idx="2">
                  <c:v>0.46867708206378228</c:v>
                </c:pt>
                <c:pt idx="3">
                  <c:v>0.47301543725747752</c:v>
                </c:pt>
                <c:pt idx="4">
                  <c:v>0.47301543725747752</c:v>
                </c:pt>
                <c:pt idx="5">
                  <c:v>0.50216852470897311</c:v>
                </c:pt>
                <c:pt idx="6">
                  <c:v>0.47</c:v>
                </c:pt>
                <c:pt idx="7">
                  <c:v>0.75</c:v>
                </c:pt>
              </c:numCache>
            </c:numRef>
          </c:val>
          <c:smooth val="0"/>
          <c:extLst>
            <c:ext xmlns:c16="http://schemas.microsoft.com/office/drawing/2014/chart" uri="{C3380CC4-5D6E-409C-BE32-E72D297353CC}">
              <c16:uniqueId val="{00000002-FD2D-4F5C-BD20-2DEE387AFA0E}"/>
            </c:ext>
          </c:extLst>
        </c:ser>
        <c:ser>
          <c:idx val="3"/>
          <c:order val="3"/>
          <c:tx>
            <c:strRef>
              <c:f>Übersetzungstabelle!$A$10</c:f>
              <c:strCache>
                <c:ptCount val="1"/>
                <c:pt idx="0">
                  <c:v>Kittel verstärkt</c:v>
                </c:pt>
              </c:strCache>
            </c:strRef>
          </c:tx>
          <c:spPr>
            <a:ln w="28575" cap="rnd">
              <a:solidFill>
                <a:schemeClr val="accent6"/>
              </a:solidFill>
              <a:round/>
            </a:ln>
            <a:effectLst/>
          </c:spPr>
          <c:marker>
            <c:symbol val="none"/>
          </c:marker>
          <c:dLbls>
            <c:dLbl>
              <c:idx val="0"/>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FD2D-4F5C-BD20-2DEE387AFA0E}"/>
                </c:ext>
              </c:extLst>
            </c:dLbl>
            <c:dLbl>
              <c:idx val="1"/>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FD2D-4F5C-BD20-2DEE387AFA0E}"/>
                </c:ext>
              </c:extLst>
            </c:dLbl>
            <c:dLbl>
              <c:idx val="2"/>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FD2D-4F5C-BD20-2DEE387AFA0E}"/>
                </c:ext>
              </c:extLst>
            </c:dLbl>
            <c:dLbl>
              <c:idx val="3"/>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FD2D-4F5C-BD20-2DEE387AFA0E}"/>
                </c:ext>
              </c:extLst>
            </c:dLbl>
            <c:dLbl>
              <c:idx val="4"/>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FD2D-4F5C-BD20-2DEE387AFA0E}"/>
                </c:ext>
              </c:extLst>
            </c:dLbl>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FD2D-4F5C-BD20-2DEE387AFA0E}"/>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FD2D-4F5C-BD20-2DEE387AFA0E}"/>
                </c:ext>
              </c:extLst>
            </c:dLbl>
            <c:spPr>
              <a:noFill/>
              <a:ln>
                <a:noFill/>
              </a:ln>
              <a:effectLst/>
            </c:spPr>
            <c:txPr>
              <a:bodyPr rot="0" spcFirstLastPara="1" vertOverflow="ellipsis" vert="horz" wrap="square" lIns="38100" tIns="19050" rIns="38100" bIns="19050" anchor="ctr" anchorCtr="0">
                <a:spAutoFit/>
              </a:bodyPr>
              <a:lstStyle/>
              <a:p>
                <a:pPr algn="ctr">
                  <a:defRPr lang="en-US" sz="900" b="1" i="0" u="none" strike="noStrike" kern="1200" baseline="0">
                    <a:solidFill>
                      <a:schemeClr val="accent6"/>
                    </a:solidFill>
                    <a:latin typeface="Avenir Next LT Pro" panose="020B0504020202020204" pitchFamily="34" charset="0"/>
                    <a:ea typeface="+mn-ea"/>
                    <a:cs typeface="+mn-cs"/>
                  </a:defRPr>
                </a:pPr>
                <a:endParaRPr lang="de-DE"/>
              </a:p>
            </c:txPr>
            <c:dLblPos val="b"/>
            <c:showLegendKey val="0"/>
            <c:showVal val="1"/>
            <c:showCatName val="0"/>
            <c:showSerName val="1"/>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Übersetzungstabelle!$B$1:$I$1</c:f>
              <c:numCache>
                <c:formatCode>m/d/yyyy</c:formatCode>
                <c:ptCount val="8"/>
                <c:pt idx="0">
                  <c:v>43830</c:v>
                </c:pt>
                <c:pt idx="1">
                  <c:v>43861</c:v>
                </c:pt>
                <c:pt idx="2">
                  <c:v>43890</c:v>
                </c:pt>
                <c:pt idx="3">
                  <c:v>43906</c:v>
                </c:pt>
                <c:pt idx="4">
                  <c:v>43922</c:v>
                </c:pt>
                <c:pt idx="5">
                  <c:v>43929</c:v>
                </c:pt>
                <c:pt idx="6">
                  <c:v>43936</c:v>
                </c:pt>
                <c:pt idx="7">
                  <c:v>43943</c:v>
                </c:pt>
              </c:numCache>
            </c:numRef>
          </c:cat>
          <c:val>
            <c:numRef>
              <c:f>Übersetzungstabelle!$B$10:$I$10</c:f>
              <c:numCache>
                <c:formatCode>_("€"* #,##0.00_);_("€"* \(#,##0.00\);_("€"* "-"??_);_(@_)</c:formatCode>
                <c:ptCount val="8"/>
                <c:pt idx="0">
                  <c:v>0.3891</c:v>
                </c:pt>
                <c:pt idx="1">
                  <c:v>0.3891</c:v>
                </c:pt>
                <c:pt idx="2">
                  <c:v>0.3891</c:v>
                </c:pt>
                <c:pt idx="3">
                  <c:v>0.3891</c:v>
                </c:pt>
                <c:pt idx="4">
                  <c:v>0.65182499999999999</c:v>
                </c:pt>
                <c:pt idx="5">
                  <c:v>0.3367</c:v>
                </c:pt>
                <c:pt idx="6">
                  <c:v>0.3367</c:v>
                </c:pt>
                <c:pt idx="7">
                  <c:v>0.35339999999999999</c:v>
                </c:pt>
              </c:numCache>
            </c:numRef>
          </c:val>
          <c:smooth val="0"/>
          <c:extLst>
            <c:ext xmlns:c16="http://schemas.microsoft.com/office/drawing/2014/chart" uri="{C3380CC4-5D6E-409C-BE32-E72D297353CC}">
              <c16:uniqueId val="{00000003-FD2D-4F5C-BD20-2DEE387AFA0E}"/>
            </c:ext>
          </c:extLst>
        </c:ser>
        <c:dLbls>
          <c:showLegendKey val="0"/>
          <c:showVal val="0"/>
          <c:showCatName val="0"/>
          <c:showSerName val="0"/>
          <c:showPercent val="0"/>
          <c:showBubbleSize val="0"/>
        </c:dLbls>
        <c:smooth val="0"/>
        <c:axId val="1991711792"/>
        <c:axId val="1848951904"/>
      </c:lineChart>
      <c:catAx>
        <c:axId val="1991711792"/>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848951904"/>
        <c:crosses val="autoZero"/>
        <c:auto val="0"/>
        <c:lblAlgn val="ctr"/>
        <c:lblOffset val="100"/>
        <c:tickLblSkip val="1"/>
        <c:tickMarkSkip val="1"/>
        <c:noMultiLvlLbl val="0"/>
      </c:catAx>
      <c:valAx>
        <c:axId val="1848951904"/>
        <c:scaling>
          <c:orientation val="minMax"/>
          <c:max val="0.8"/>
          <c:min val="0"/>
        </c:scaling>
        <c:delete val="0"/>
        <c:axPos val="l"/>
        <c:majorGridlines>
          <c:spPr>
            <a:ln w="9525" cap="flat" cmpd="sng" algn="ctr">
              <a:solidFill>
                <a:schemeClr val="tx1">
                  <a:lumMod val="15000"/>
                  <a:lumOff val="85000"/>
                </a:schemeClr>
              </a:solidFill>
              <a:round/>
            </a:ln>
            <a:effectLst/>
          </c:spPr>
        </c:majorGridlines>
        <c:numFmt formatCode="_(&quot;€&quot;* #,##0.00_);_(&quot;€&quot;* \(#,##0.0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crossAx val="1991711792"/>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Avenir Next LT Pro" panose="020B0504020202020204" pitchFamily="34" charset="0"/>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11</xdr:col>
      <xdr:colOff>2311096</xdr:colOff>
      <xdr:row>0</xdr:row>
      <xdr:rowOff>177004</xdr:rowOff>
    </xdr:from>
    <xdr:to>
      <xdr:col>14</xdr:col>
      <xdr:colOff>276074</xdr:colOff>
      <xdr:row>1</xdr:row>
      <xdr:rowOff>187323</xdr:rowOff>
    </xdr:to>
    <xdr:grpSp>
      <xdr:nvGrpSpPr>
        <xdr:cNvPr id="2" name="Gruppieren 1">
          <a:extLst>
            <a:ext uri="{FF2B5EF4-FFF2-40B4-BE49-F238E27FC236}">
              <a16:creationId xmlns:a16="http://schemas.microsoft.com/office/drawing/2014/main" id="{AD8CC91B-9701-420A-91C0-13BDF3BDBE04}"/>
            </a:ext>
          </a:extLst>
        </xdr:cNvPr>
        <xdr:cNvGrpSpPr/>
      </xdr:nvGrpSpPr>
      <xdr:grpSpPr>
        <a:xfrm>
          <a:off x="10762946" y="177004"/>
          <a:ext cx="4454678" cy="454819"/>
          <a:chOff x="5103113" y="534194"/>
          <a:chExt cx="4602713" cy="450850"/>
        </a:xfrm>
      </xdr:grpSpPr>
      <xdr:pic>
        <xdr:nvPicPr>
          <xdr:cNvPr id="6" name="Grafik 5">
            <a:extLst>
              <a:ext uri="{FF2B5EF4-FFF2-40B4-BE49-F238E27FC236}">
                <a16:creationId xmlns:a16="http://schemas.microsoft.com/office/drawing/2014/main" id="{CB4DF2CE-8DF0-4022-9F06-9CC696640025}"/>
              </a:ext>
            </a:extLst>
          </xdr:cNvPr>
          <xdr:cNvPicPr>
            <a:picLocks noChangeAspect="1"/>
          </xdr:cNvPicPr>
        </xdr:nvPicPr>
        <xdr:blipFill>
          <a:blip xmlns:r="http://schemas.openxmlformats.org/officeDocument/2006/relationships" r:embed="rId1"/>
          <a:stretch>
            <a:fillRect/>
          </a:stretch>
        </xdr:blipFill>
        <xdr:spPr>
          <a:xfrm>
            <a:off x="7023100" y="638813"/>
            <a:ext cx="1453732" cy="241612"/>
          </a:xfrm>
          <a:prstGeom prst="rect">
            <a:avLst/>
          </a:prstGeom>
        </xdr:spPr>
      </xdr:pic>
      <xdr:pic>
        <xdr:nvPicPr>
          <xdr:cNvPr id="7" name="logo-header">
            <a:extLst>
              <a:ext uri="{FF2B5EF4-FFF2-40B4-BE49-F238E27FC236}">
                <a16:creationId xmlns:a16="http://schemas.microsoft.com/office/drawing/2014/main" id="{B44136E3-B7EE-4DE6-9731-50AE87C9BC6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103113" y="560502"/>
            <a:ext cx="1609317" cy="39823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8" name="Grafik 7" descr="inspiring-health GmbH | LinkedIn">
            <a:extLst>
              <a:ext uri="{FF2B5EF4-FFF2-40B4-BE49-F238E27FC236}">
                <a16:creationId xmlns:a16="http://schemas.microsoft.com/office/drawing/2014/main" id="{55F91A5C-DF8F-4AAD-A784-7D741B2BA2DD}"/>
              </a:ext>
            </a:extLst>
          </xdr:cNvPr>
          <xdr:cNvPicPr>
            <a:picLocks noChangeAspect="1" noChangeArrowheads="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t="30750" b="31500"/>
          <a:stretch/>
        </xdr:blipFill>
        <xdr:spPr bwMode="auto">
          <a:xfrm>
            <a:off x="8618890" y="534194"/>
            <a:ext cx="1086936" cy="4508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twoCellAnchor>
    <xdr:from>
      <xdr:col>11</xdr:col>
      <xdr:colOff>2311096</xdr:colOff>
      <xdr:row>0</xdr:row>
      <xdr:rowOff>177004</xdr:rowOff>
    </xdr:from>
    <xdr:to>
      <xdr:col>14</xdr:col>
      <xdr:colOff>276074</xdr:colOff>
      <xdr:row>1</xdr:row>
      <xdr:rowOff>187323</xdr:rowOff>
    </xdr:to>
    <xdr:grpSp>
      <xdr:nvGrpSpPr>
        <xdr:cNvPr id="9" name="Gruppieren 8">
          <a:extLst>
            <a:ext uri="{FF2B5EF4-FFF2-40B4-BE49-F238E27FC236}">
              <a16:creationId xmlns:a16="http://schemas.microsoft.com/office/drawing/2014/main" id="{6B4C1382-F4C6-46C3-B835-F5828E6188C8}"/>
            </a:ext>
          </a:extLst>
        </xdr:cNvPr>
        <xdr:cNvGrpSpPr/>
      </xdr:nvGrpSpPr>
      <xdr:grpSpPr>
        <a:xfrm>
          <a:off x="10762946" y="177004"/>
          <a:ext cx="4454678" cy="454819"/>
          <a:chOff x="5103113" y="534194"/>
          <a:chExt cx="4602713" cy="450850"/>
        </a:xfrm>
      </xdr:grpSpPr>
      <xdr:pic>
        <xdr:nvPicPr>
          <xdr:cNvPr id="10" name="Grafik 9">
            <a:extLst>
              <a:ext uri="{FF2B5EF4-FFF2-40B4-BE49-F238E27FC236}">
                <a16:creationId xmlns:a16="http://schemas.microsoft.com/office/drawing/2014/main" id="{E3F5DD71-ACE6-4B32-AB15-A46C8D8C94B9}"/>
              </a:ext>
            </a:extLst>
          </xdr:cNvPr>
          <xdr:cNvPicPr>
            <a:picLocks noChangeAspect="1"/>
          </xdr:cNvPicPr>
        </xdr:nvPicPr>
        <xdr:blipFill>
          <a:blip xmlns:r="http://schemas.openxmlformats.org/officeDocument/2006/relationships" r:embed="rId1"/>
          <a:stretch>
            <a:fillRect/>
          </a:stretch>
        </xdr:blipFill>
        <xdr:spPr>
          <a:xfrm>
            <a:off x="7023100" y="638813"/>
            <a:ext cx="1453732" cy="241612"/>
          </a:xfrm>
          <a:prstGeom prst="rect">
            <a:avLst/>
          </a:prstGeom>
        </xdr:spPr>
      </xdr:pic>
      <xdr:pic>
        <xdr:nvPicPr>
          <xdr:cNvPr id="11" name="logo-header">
            <a:extLst>
              <a:ext uri="{FF2B5EF4-FFF2-40B4-BE49-F238E27FC236}">
                <a16:creationId xmlns:a16="http://schemas.microsoft.com/office/drawing/2014/main" id="{0781CC89-067D-47FF-ABAE-28B079490B4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103113" y="560502"/>
            <a:ext cx="1609317" cy="398235"/>
          </a:xfrm>
          <a:prstGeom prst="rect">
            <a:avLst/>
          </a:prstGeom>
          <a:noFill/>
          <a:extLst>
            <a:ext uri="{909E8E84-426E-40DD-AFC4-6F175D3DCCD1}">
              <a14:hiddenFill xmlns:a14="http://schemas.microsoft.com/office/drawing/2010/main">
                <a:solidFill>
                  <a:srgbClr val="FFFFFF"/>
                </a:solidFill>
              </a14:hiddenFill>
            </a:ext>
          </a:extLst>
        </xdr:spPr>
      </xdr:pic>
      <xdr:pic>
        <xdr:nvPicPr>
          <xdr:cNvPr id="12" name="Grafik 11" descr="inspiring-health GmbH | LinkedIn">
            <a:extLst>
              <a:ext uri="{FF2B5EF4-FFF2-40B4-BE49-F238E27FC236}">
                <a16:creationId xmlns:a16="http://schemas.microsoft.com/office/drawing/2014/main" id="{BB823BA8-DD61-4629-BA33-873C2F99DE60}"/>
              </a:ext>
            </a:extLst>
          </xdr:cNvPr>
          <xdr:cNvPicPr>
            <a:picLocks noChangeAspect="1" noChangeArrowheads="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t="30750" b="31500"/>
          <a:stretch/>
        </xdr:blipFill>
        <xdr:spPr bwMode="auto">
          <a:xfrm>
            <a:off x="8618890" y="534194"/>
            <a:ext cx="1086936" cy="450850"/>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1977572</xdr:colOff>
      <xdr:row>0</xdr:row>
      <xdr:rowOff>153762</xdr:rowOff>
    </xdr:from>
    <xdr:to>
      <xdr:col>11</xdr:col>
      <xdr:colOff>1252367</xdr:colOff>
      <xdr:row>1</xdr:row>
      <xdr:rowOff>517538</xdr:rowOff>
    </xdr:to>
    <xdr:grpSp>
      <xdr:nvGrpSpPr>
        <xdr:cNvPr id="5" name="Gruppieren 4">
          <a:extLst>
            <a:ext uri="{FF2B5EF4-FFF2-40B4-BE49-F238E27FC236}">
              <a16:creationId xmlns:a16="http://schemas.microsoft.com/office/drawing/2014/main" id="{44E94A4D-1B15-4967-B23D-E9201B7DDFB5}"/>
            </a:ext>
          </a:extLst>
        </xdr:cNvPr>
        <xdr:cNvGrpSpPr/>
      </xdr:nvGrpSpPr>
      <xdr:grpSpPr>
        <a:xfrm>
          <a:off x="13670643" y="153762"/>
          <a:ext cx="6658938" cy="545205"/>
          <a:chOff x="13685385" y="2950"/>
          <a:chExt cx="6426482" cy="538401"/>
        </a:xfrm>
      </xdr:grpSpPr>
      <xdr:pic>
        <xdr:nvPicPr>
          <xdr:cNvPr id="2" name="Grafik 1">
            <a:extLst>
              <a:ext uri="{FF2B5EF4-FFF2-40B4-BE49-F238E27FC236}">
                <a16:creationId xmlns:a16="http://schemas.microsoft.com/office/drawing/2014/main" id="{4F6B8268-3D77-4A9A-A2ED-625F6F849F9E}"/>
              </a:ext>
            </a:extLst>
          </xdr:cNvPr>
          <xdr:cNvPicPr>
            <a:picLocks noChangeAspect="1"/>
          </xdr:cNvPicPr>
        </xdr:nvPicPr>
        <xdr:blipFill>
          <a:blip xmlns:r="http://schemas.openxmlformats.org/officeDocument/2006/relationships" r:embed="rId1"/>
          <a:stretch>
            <a:fillRect/>
          </a:stretch>
        </xdr:blipFill>
        <xdr:spPr>
          <a:xfrm>
            <a:off x="16212022" y="141739"/>
            <a:ext cx="1840699" cy="260823"/>
          </a:xfrm>
          <a:prstGeom prst="rect">
            <a:avLst/>
          </a:prstGeom>
        </xdr:spPr>
      </xdr:pic>
      <xdr:pic>
        <xdr:nvPicPr>
          <xdr:cNvPr id="3" name="logo-header">
            <a:extLst>
              <a:ext uri="{FF2B5EF4-FFF2-40B4-BE49-F238E27FC236}">
                <a16:creationId xmlns:a16="http://schemas.microsoft.com/office/drawing/2014/main" id="{62040343-3CD3-4012-9457-204CB9E21DF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685385" y="62379"/>
            <a:ext cx="1850176" cy="419543"/>
          </a:xfrm>
          <a:prstGeom prst="rect">
            <a:avLst/>
          </a:prstGeom>
          <a:noFill/>
          <a:extLst>
            <a:ext uri="{909E8E84-426E-40DD-AFC4-6F175D3DCCD1}">
              <a14:hiddenFill xmlns:a14="http://schemas.microsoft.com/office/drawing/2010/main">
                <a:solidFill>
                  <a:srgbClr val="FFFFFF"/>
                </a:solidFill>
              </a14:hiddenFill>
            </a:ext>
          </a:extLst>
        </xdr:spPr>
      </xdr:pic>
      <xdr:pic>
        <xdr:nvPicPr>
          <xdr:cNvPr id="4" name="Grafik 3" descr="inspiring-health GmbH | LinkedIn">
            <a:extLst>
              <a:ext uri="{FF2B5EF4-FFF2-40B4-BE49-F238E27FC236}">
                <a16:creationId xmlns:a16="http://schemas.microsoft.com/office/drawing/2014/main" id="{0AF7C28E-F3C0-4842-9D06-6DF46E13AD14}"/>
              </a:ext>
            </a:extLst>
          </xdr:cNvPr>
          <xdr:cNvPicPr>
            <a:picLocks noChangeAspect="1" noChangeArrowheads="1"/>
          </xdr:cNvPicPr>
        </xdr:nvPicPr>
        <xdr:blipFill rotWithShape="1">
          <a:blip xmlns:r="http://schemas.openxmlformats.org/officeDocument/2006/relationships" r:embed="rId3">
            <a:extLst>
              <a:ext uri="{28A0092B-C50C-407E-A947-70E740481C1C}">
                <a14:useLocalDpi xmlns:a14="http://schemas.microsoft.com/office/drawing/2010/main" val="0"/>
              </a:ext>
            </a:extLst>
          </a:blip>
          <a:srcRect t="30750" b="31500"/>
          <a:stretch/>
        </xdr:blipFill>
        <xdr:spPr bwMode="auto">
          <a:xfrm>
            <a:off x="18729182" y="2950"/>
            <a:ext cx="1382685" cy="538401"/>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184150</xdr:colOff>
      <xdr:row>0</xdr:row>
      <xdr:rowOff>116678</xdr:rowOff>
    </xdr:from>
    <xdr:to>
      <xdr:col>11</xdr:col>
      <xdr:colOff>793750</xdr:colOff>
      <xdr:row>23</xdr:row>
      <xdr:rowOff>0</xdr:rowOff>
    </xdr:to>
    <xdr:graphicFrame macro="">
      <xdr:nvGraphicFramePr>
        <xdr:cNvPr id="5" name="Diagramm 4">
          <a:extLst>
            <a:ext uri="{FF2B5EF4-FFF2-40B4-BE49-F238E27FC236}">
              <a16:creationId xmlns:a16="http://schemas.microsoft.com/office/drawing/2014/main" id="{09CEA251-BFEE-4165-AF77-EFE11699022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192740</xdr:colOff>
      <xdr:row>23</xdr:row>
      <xdr:rowOff>101600</xdr:rowOff>
    </xdr:from>
    <xdr:to>
      <xdr:col>11</xdr:col>
      <xdr:colOff>808689</xdr:colOff>
      <xdr:row>46</xdr:row>
      <xdr:rowOff>12700</xdr:rowOff>
    </xdr:to>
    <xdr:graphicFrame macro="">
      <xdr:nvGraphicFramePr>
        <xdr:cNvPr id="6" name="Diagramm 5">
          <a:extLst>
            <a:ext uri="{FF2B5EF4-FFF2-40B4-BE49-F238E27FC236}">
              <a16:creationId xmlns:a16="http://schemas.microsoft.com/office/drawing/2014/main" id="{0B70EA90-7A0D-49A3-93A0-CC03911E772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21</xdr:col>
      <xdr:colOff>44450</xdr:colOff>
      <xdr:row>0</xdr:row>
      <xdr:rowOff>127000</xdr:rowOff>
    </xdr:from>
    <xdr:to>
      <xdr:col>39</xdr:col>
      <xdr:colOff>330200</xdr:colOff>
      <xdr:row>23</xdr:row>
      <xdr:rowOff>0</xdr:rowOff>
    </xdr:to>
    <xdr:graphicFrame macro="">
      <xdr:nvGraphicFramePr>
        <xdr:cNvPr id="7" name="Diagramm 6">
          <a:extLst>
            <a:ext uri="{FF2B5EF4-FFF2-40B4-BE49-F238E27FC236}">
              <a16:creationId xmlns:a16="http://schemas.microsoft.com/office/drawing/2014/main" id="{0773F1F0-A6AD-496D-86F1-82D1E4C873D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21</xdr:col>
      <xdr:colOff>57150</xdr:colOff>
      <xdr:row>23</xdr:row>
      <xdr:rowOff>107950</xdr:rowOff>
    </xdr:from>
    <xdr:to>
      <xdr:col>39</xdr:col>
      <xdr:colOff>342900</xdr:colOff>
      <xdr:row>45</xdr:row>
      <xdr:rowOff>177800</xdr:rowOff>
    </xdr:to>
    <xdr:graphicFrame macro="">
      <xdr:nvGraphicFramePr>
        <xdr:cNvPr id="8" name="Diagramm 7">
          <a:extLst>
            <a:ext uri="{FF2B5EF4-FFF2-40B4-BE49-F238E27FC236}">
              <a16:creationId xmlns:a16="http://schemas.microsoft.com/office/drawing/2014/main" id="{9A62DE44-1BB0-4908-964D-75E5FDB047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1</xdr:col>
      <xdr:colOff>517525</xdr:colOff>
      <xdr:row>6</xdr:row>
      <xdr:rowOff>19051</xdr:rowOff>
    </xdr:from>
    <xdr:ext cx="161926" cy="172227"/>
    <mc:AlternateContent xmlns:mc="http://schemas.openxmlformats.org/markup-compatibility/2006" xmlns:a14="http://schemas.microsoft.com/office/drawing/2010/main">
      <mc:Choice Requires="a14">
        <xdr:sp macro="" textlink="">
          <xdr:nvSpPr>
            <xdr:cNvPr id="2" name="Textfeld 1">
              <a:extLst>
                <a:ext uri="{FF2B5EF4-FFF2-40B4-BE49-F238E27FC236}">
                  <a16:creationId xmlns:a16="http://schemas.microsoft.com/office/drawing/2014/main" id="{664A409F-A664-4974-A9CC-A3E302DC81FA}"/>
                </a:ext>
              </a:extLst>
            </xdr:cNvPr>
            <xdr:cNvSpPr txBox="1"/>
          </xdr:nvSpPr>
          <xdr:spPr>
            <a:xfrm>
              <a:off x="746125" y="1123951"/>
              <a:ext cx="161926"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r>
                      <a:rPr lang="de-DE" sz="1100" i="1">
                        <a:latin typeface="Cambria Math" panose="02040503050406030204" pitchFamily="18" charset="0"/>
                      </a:rPr>
                      <m:t>Ø</m:t>
                    </m:r>
                  </m:oMath>
                </m:oMathPara>
              </a14:m>
              <a:endParaRPr lang="de-DE" sz="1100"/>
            </a:p>
          </xdr:txBody>
        </xdr:sp>
      </mc:Choice>
      <mc:Fallback xmlns="">
        <xdr:sp macro="" textlink="">
          <xdr:nvSpPr>
            <xdr:cNvPr id="2" name="Textfeld 1">
              <a:extLst>
                <a:ext uri="{FF2B5EF4-FFF2-40B4-BE49-F238E27FC236}">
                  <a16:creationId xmlns:a16="http://schemas.microsoft.com/office/drawing/2014/main" id="{664A409F-A664-4974-A9CC-A3E302DC81FA}"/>
                </a:ext>
              </a:extLst>
            </xdr:cNvPr>
            <xdr:cNvSpPr txBox="1"/>
          </xdr:nvSpPr>
          <xdr:spPr>
            <a:xfrm>
              <a:off x="746125" y="1123951"/>
              <a:ext cx="161926"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de-DE" sz="1100" i="0">
                  <a:latin typeface="Cambria Math" panose="02040503050406030204" pitchFamily="18" charset="0"/>
                </a:rPr>
                <a:t>Ø</a:t>
              </a:r>
              <a:endParaRPr lang="de-DE" sz="1100"/>
            </a:p>
          </xdr:txBody>
        </xdr:sp>
      </mc:Fallback>
    </mc:AlternateContent>
    <xdr:clientData/>
  </xdr:oneCellAnchor>
  <xdr:oneCellAnchor>
    <xdr:from>
      <xdr:col>1</xdr:col>
      <xdr:colOff>2136775</xdr:colOff>
      <xdr:row>14</xdr:row>
      <xdr:rowOff>12701</xdr:rowOff>
    </xdr:from>
    <xdr:ext cx="161926" cy="172227"/>
    <mc:AlternateContent xmlns:mc="http://schemas.openxmlformats.org/markup-compatibility/2006" xmlns:a14="http://schemas.microsoft.com/office/drawing/2010/main">
      <mc:Choice Requires="a14">
        <xdr:sp macro="" textlink="">
          <xdr:nvSpPr>
            <xdr:cNvPr id="3" name="Textfeld 2">
              <a:extLst>
                <a:ext uri="{FF2B5EF4-FFF2-40B4-BE49-F238E27FC236}">
                  <a16:creationId xmlns:a16="http://schemas.microsoft.com/office/drawing/2014/main" id="{E45D05B4-16F6-4B7A-9DC9-89BE4ADC15A2}"/>
                </a:ext>
              </a:extLst>
            </xdr:cNvPr>
            <xdr:cNvSpPr txBox="1"/>
          </xdr:nvSpPr>
          <xdr:spPr>
            <a:xfrm>
              <a:off x="2365375" y="2590801"/>
              <a:ext cx="161926"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r>
                      <a:rPr lang="de-DE" sz="1100" i="1">
                        <a:latin typeface="Cambria Math" panose="02040503050406030204" pitchFamily="18" charset="0"/>
                      </a:rPr>
                      <m:t>Ø</m:t>
                    </m:r>
                  </m:oMath>
                </m:oMathPara>
              </a14:m>
              <a:endParaRPr lang="de-DE" sz="1100"/>
            </a:p>
          </xdr:txBody>
        </xdr:sp>
      </mc:Choice>
      <mc:Fallback xmlns="">
        <xdr:sp macro="" textlink="">
          <xdr:nvSpPr>
            <xdr:cNvPr id="3" name="Textfeld 2">
              <a:extLst>
                <a:ext uri="{FF2B5EF4-FFF2-40B4-BE49-F238E27FC236}">
                  <a16:creationId xmlns:a16="http://schemas.microsoft.com/office/drawing/2014/main" id="{E45D05B4-16F6-4B7A-9DC9-89BE4ADC15A2}"/>
                </a:ext>
              </a:extLst>
            </xdr:cNvPr>
            <xdr:cNvSpPr txBox="1"/>
          </xdr:nvSpPr>
          <xdr:spPr>
            <a:xfrm>
              <a:off x="2365375" y="2590801"/>
              <a:ext cx="161926"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de-DE" sz="1100" i="0">
                  <a:latin typeface="Cambria Math" panose="02040503050406030204" pitchFamily="18" charset="0"/>
                </a:rPr>
                <a:t>Ø</a:t>
              </a:r>
              <a:endParaRPr lang="de-DE" sz="1100"/>
            </a:p>
          </xdr:txBody>
        </xdr:sp>
      </mc:Fallback>
    </mc:AlternateContent>
    <xdr:clientData/>
  </xdr:oneCellAnchor>
  <xdr:oneCellAnchor>
    <xdr:from>
      <xdr:col>1</xdr:col>
      <xdr:colOff>650875</xdr:colOff>
      <xdr:row>16</xdr:row>
      <xdr:rowOff>12701</xdr:rowOff>
    </xdr:from>
    <xdr:ext cx="161926" cy="172227"/>
    <mc:AlternateContent xmlns:mc="http://schemas.openxmlformats.org/markup-compatibility/2006" xmlns:a14="http://schemas.microsoft.com/office/drawing/2010/main">
      <mc:Choice Requires="a14">
        <xdr:sp macro="" textlink="">
          <xdr:nvSpPr>
            <xdr:cNvPr id="4" name="Textfeld 3">
              <a:extLst>
                <a:ext uri="{FF2B5EF4-FFF2-40B4-BE49-F238E27FC236}">
                  <a16:creationId xmlns:a16="http://schemas.microsoft.com/office/drawing/2014/main" id="{6061EE5E-0B45-426D-AF1F-5B88EB06E27A}"/>
                </a:ext>
              </a:extLst>
            </xdr:cNvPr>
            <xdr:cNvSpPr txBox="1"/>
          </xdr:nvSpPr>
          <xdr:spPr>
            <a:xfrm>
              <a:off x="879475" y="2959101"/>
              <a:ext cx="161926"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pPr/>
              <a14:m>
                <m:oMathPara xmlns:m="http://schemas.openxmlformats.org/officeDocument/2006/math">
                  <m:oMathParaPr>
                    <m:jc m:val="centerGroup"/>
                  </m:oMathParaPr>
                  <m:oMath xmlns:m="http://schemas.openxmlformats.org/officeDocument/2006/math">
                    <m:r>
                      <a:rPr lang="de-DE" sz="1100" i="1">
                        <a:latin typeface="Cambria Math" panose="02040503050406030204" pitchFamily="18" charset="0"/>
                      </a:rPr>
                      <m:t>Ø</m:t>
                    </m:r>
                  </m:oMath>
                </m:oMathPara>
              </a14:m>
              <a:endParaRPr lang="de-DE" sz="1100"/>
            </a:p>
          </xdr:txBody>
        </xdr:sp>
      </mc:Choice>
      <mc:Fallback xmlns="">
        <xdr:sp macro="" textlink="">
          <xdr:nvSpPr>
            <xdr:cNvPr id="4" name="Textfeld 3">
              <a:extLst>
                <a:ext uri="{FF2B5EF4-FFF2-40B4-BE49-F238E27FC236}">
                  <a16:creationId xmlns:a16="http://schemas.microsoft.com/office/drawing/2014/main" id="{6061EE5E-0B45-426D-AF1F-5B88EB06E27A}"/>
                </a:ext>
              </a:extLst>
            </xdr:cNvPr>
            <xdr:cNvSpPr txBox="1"/>
          </xdr:nvSpPr>
          <xdr:spPr>
            <a:xfrm>
              <a:off x="879475" y="2959101"/>
              <a:ext cx="161926"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spAutoFit/>
            </a:bodyPr>
            <a:lstStyle/>
            <a:p>
              <a:r>
                <a:rPr lang="de-DE" sz="1100" i="0">
                  <a:latin typeface="Cambria Math" panose="02040503050406030204" pitchFamily="18" charset="0"/>
                </a:rPr>
                <a:t>Ø</a:t>
              </a:r>
              <a:endParaRPr lang="de-DE" sz="1100"/>
            </a:p>
          </xdr:txBody>
        </xdr:sp>
      </mc:Fallback>
    </mc:AlternateContent>
    <xdr:clientData/>
  </xdr:oneCellAnchor>
</xdr:wsDr>
</file>

<file path=xl/theme/theme1.xml><?xml version="1.0" encoding="utf-8"?>
<a:theme xmlns:a="http://schemas.openxmlformats.org/drawingml/2006/main" name="Office">
  <a:themeElements>
    <a:clrScheme name="Primärfarben">
      <a:dk1>
        <a:srgbClr val="000000"/>
      </a:dk1>
      <a:lt1>
        <a:sysClr val="window" lastClr="FFFFFF"/>
      </a:lt1>
      <a:dk2>
        <a:srgbClr val="E8E8E4"/>
      </a:dk2>
      <a:lt2>
        <a:srgbClr val="52555C"/>
      </a:lt2>
      <a:accent1>
        <a:srgbClr val="00354C"/>
      </a:accent1>
      <a:accent2>
        <a:srgbClr val="EC6726"/>
      </a:accent2>
      <a:accent3>
        <a:srgbClr val="82C7D0"/>
      </a:accent3>
      <a:accent4>
        <a:srgbClr val="9D9D9C"/>
      </a:accent4>
      <a:accent5>
        <a:srgbClr val="C8C8C8"/>
      </a:accent5>
      <a:accent6>
        <a:srgbClr val="005E65"/>
      </a:accent6>
      <a:hlink>
        <a:srgbClr val="1D4477"/>
      </a:hlink>
      <a:folHlink>
        <a:srgbClr val="1D4477"/>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michael.wilke@inspiring-health.de?subject=Ihr%20COVID-19%20Budgetsimulationstool" TargetMode="External"/><Relationship Id="rId2" Type="http://schemas.openxmlformats.org/officeDocument/2006/relationships/hyperlink" Target="mailto:joerg.risse@vicondo-healthcare.de?subject=Ihr%20COVID-19%20Budgetsimulationstool" TargetMode="External"/><Relationship Id="rId1" Type="http://schemas.openxmlformats.org/officeDocument/2006/relationships/hyperlink" Target="mailto:steffen.gramminger@hkg-online.de?subject=Ihr%20COVID-19%20Budgetsimulationstoo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96577D-52FB-409B-8380-DA1B046C03B2}">
  <sheetPr>
    <tabColor theme="9"/>
    <pageSetUpPr fitToPage="1"/>
  </sheetPr>
  <dimension ref="A1:P9"/>
  <sheetViews>
    <sheetView workbookViewId="0">
      <selection activeCell="L9" sqref="L9"/>
    </sheetView>
  </sheetViews>
  <sheetFormatPr baseColWidth="10" defaultColWidth="11" defaultRowHeight="14.5"/>
  <cols>
    <col min="1" max="11" width="11" style="58"/>
    <col min="12" max="12" width="79.08984375" style="58" customWidth="1"/>
    <col min="13" max="13" width="2.81640625" style="58" customWidth="1"/>
    <col min="14" max="16384" width="11" style="58"/>
  </cols>
  <sheetData>
    <row r="1" spans="1:16" ht="35.15" customHeight="1"/>
    <row r="2" spans="1:16" ht="44.25" customHeight="1">
      <c r="A2" s="55" t="s">
        <v>129</v>
      </c>
      <c r="B2" s="56"/>
      <c r="C2" s="56"/>
      <c r="D2" s="56"/>
    </row>
    <row r="3" spans="1:16" ht="39" customHeight="1">
      <c r="A3" s="56"/>
    </row>
    <row r="4" spans="1:16" ht="180.75" customHeight="1">
      <c r="A4" s="321" t="s">
        <v>218</v>
      </c>
      <c r="B4" s="321"/>
      <c r="C4" s="321"/>
      <c r="D4" s="321"/>
      <c r="E4" s="321"/>
      <c r="F4" s="321"/>
      <c r="G4" s="321"/>
      <c r="H4" s="321"/>
      <c r="I4" s="321"/>
      <c r="J4" s="321"/>
      <c r="K4" s="321"/>
      <c r="L4" s="321"/>
      <c r="M4" s="115"/>
      <c r="N4" s="322" t="s">
        <v>295</v>
      </c>
      <c r="O4" s="322"/>
      <c r="P4" s="322"/>
    </row>
    <row r="5" spans="1:16" s="208" customFormat="1" ht="20.25" customHeight="1">
      <c r="A5" s="323" t="s">
        <v>214</v>
      </c>
      <c r="B5" s="323"/>
      <c r="C5" s="323"/>
      <c r="D5" s="323"/>
      <c r="E5" s="323"/>
      <c r="F5" s="323"/>
      <c r="G5" s="323"/>
      <c r="H5" s="323"/>
      <c r="I5" s="323"/>
      <c r="J5" s="323"/>
      <c r="K5" s="323"/>
      <c r="L5" s="323"/>
    </row>
    <row r="6" spans="1:16" s="208" customFormat="1" ht="18.649999999999999" customHeight="1">
      <c r="A6" s="323" t="s">
        <v>215</v>
      </c>
      <c r="B6" s="323"/>
      <c r="C6" s="323"/>
      <c r="D6" s="323"/>
      <c r="E6" s="323"/>
      <c r="F6" s="323"/>
      <c r="G6" s="323"/>
      <c r="H6" s="323"/>
      <c r="I6" s="323"/>
      <c r="J6" s="323"/>
      <c r="K6" s="323"/>
      <c r="L6" s="323"/>
      <c r="P6" s="209"/>
    </row>
    <row r="7" spans="1:16" s="208" customFormat="1" ht="19.5" customHeight="1">
      <c r="A7" s="323" t="s">
        <v>216</v>
      </c>
      <c r="B7" s="323"/>
      <c r="C7" s="323"/>
      <c r="D7" s="323"/>
      <c r="E7" s="323"/>
      <c r="F7" s="323"/>
      <c r="G7" s="323"/>
      <c r="H7" s="323"/>
      <c r="I7" s="323"/>
      <c r="J7" s="323"/>
      <c r="K7" s="323"/>
      <c r="L7" s="323"/>
    </row>
    <row r="8" spans="1:16" ht="60.75" customHeight="1">
      <c r="A8" s="319" t="s">
        <v>217</v>
      </c>
      <c r="B8" s="320"/>
      <c r="C8" s="320"/>
      <c r="D8" s="320"/>
      <c r="E8" s="320"/>
      <c r="F8" s="320"/>
      <c r="G8" s="320"/>
      <c r="H8" s="320"/>
      <c r="I8" s="320"/>
      <c r="J8" s="320"/>
      <c r="K8" s="320"/>
      <c r="L8" s="320"/>
    </row>
    <row r="9" spans="1:16" ht="159.75" customHeight="1"/>
  </sheetData>
  <sheetProtection algorithmName="SHA-512" hashValue="YwrXTDkgLHaR7HJX1ISNK/1D1afKeOXaqgqr3x4PhU7Yb1FzcZsrxC9yag3kQSFakUro7ATLxnv9NU4thKB1FA==" saltValue="qk5XzsYZEBanB1ctnNXXuw==" spinCount="100000" sheet="1" objects="1" scenarios="1"/>
  <mergeCells count="6">
    <mergeCell ref="A8:L8"/>
    <mergeCell ref="A4:L4"/>
    <mergeCell ref="N4:P4"/>
    <mergeCell ref="A5:L5"/>
    <mergeCell ref="A6:L6"/>
    <mergeCell ref="A7:L7"/>
  </mergeCells>
  <hyperlinks>
    <hyperlink ref="A5:L5" r:id="rId1" display="Prof. Dr. med. Steffen Gramminger, Geschäftsführer der hessischen Krankenhausgesellschaft, Leiter Department Medizinmanagement, Medical School Hamburg - steffen.gramminger@hkg-online.de" xr:uid="{8F582012-5959-476D-BF31-14F76012B4D9}"/>
    <hyperlink ref="A6:L6" r:id="rId2" display="Dr. Jörg Risse, Geschäftsführer Vicondo Healthcare GmbH - joerg.risse@vicondo-healthcare.de " xr:uid="{CE1C0395-2FF8-42D5-8F2F-A5B7747F1C5B}"/>
    <hyperlink ref="A7:L7" r:id="rId3" display="Prof. Dr. med. Michael Wilke, Geschäftsführer inspiring-health GmbH, Professor für Krankenhausmanagement, Medical School Hamburg - michael.wilke@inspiring-healh.de " xr:uid="{D1245F18-008F-4CDC-B61B-321C3109C4B4}"/>
  </hyperlinks>
  <pageMargins left="0.7" right="0.7" top="0.78740157499999996" bottom="0.78740157499999996" header="0.3" footer="0.3"/>
  <pageSetup paperSize="9" scale="86" orientation="landscape" horizontalDpi="0" verticalDpi="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F4399-C11B-444E-BA6F-3D805ACE85CC}">
  <sheetPr>
    <tabColor theme="9"/>
    <pageSetUpPr fitToPage="1"/>
  </sheetPr>
  <dimension ref="A2:L34"/>
  <sheetViews>
    <sheetView workbookViewId="0">
      <selection activeCell="G15" sqref="G15"/>
    </sheetView>
  </sheetViews>
  <sheetFormatPr baseColWidth="10" defaultColWidth="11" defaultRowHeight="14"/>
  <cols>
    <col min="1" max="1" width="45" style="110" bestFit="1" customWidth="1"/>
    <col min="2" max="2" width="57" style="110" customWidth="1"/>
    <col min="3" max="3" width="63.81640625" style="110" customWidth="1"/>
    <col min="4" max="4" width="2.1796875" style="110" customWidth="1"/>
    <col min="5" max="6" width="11" style="110"/>
    <col min="7" max="7" width="15.453125" style="110" customWidth="1"/>
    <col min="8" max="16384" width="11" style="110"/>
  </cols>
  <sheetData>
    <row r="2" spans="1:3" ht="18">
      <c r="A2" s="56" t="s">
        <v>126</v>
      </c>
    </row>
    <row r="4" spans="1:3" ht="14.5">
      <c r="A4" s="111" t="s">
        <v>85</v>
      </c>
      <c r="B4" s="58"/>
      <c r="C4" s="58"/>
    </row>
    <row r="5" spans="1:3">
      <c r="A5" s="324" t="s">
        <v>296</v>
      </c>
      <c r="B5" s="324"/>
      <c r="C5" s="324"/>
    </row>
    <row r="6" spans="1:3">
      <c r="A6" s="324"/>
      <c r="B6" s="324"/>
      <c r="C6" s="324"/>
    </row>
    <row r="7" spans="1:3">
      <c r="A7" s="324"/>
      <c r="B7" s="324"/>
      <c r="C7" s="324"/>
    </row>
    <row r="8" spans="1:3">
      <c r="A8" s="324"/>
      <c r="B8" s="324"/>
      <c r="C8" s="324"/>
    </row>
    <row r="9" spans="1:3">
      <c r="A9" s="324"/>
      <c r="B9" s="324"/>
      <c r="C9" s="324"/>
    </row>
    <row r="10" spans="1:3">
      <c r="A10" s="324"/>
      <c r="B10" s="324"/>
      <c r="C10" s="324"/>
    </row>
    <row r="11" spans="1:3" ht="91.5" customHeight="1">
      <c r="A11" s="324"/>
      <c r="B11" s="324"/>
      <c r="C11" s="324"/>
    </row>
    <row r="12" spans="1:3" ht="12" customHeight="1">
      <c r="A12" s="247"/>
      <c r="B12" s="247"/>
      <c r="C12" s="247"/>
    </row>
    <row r="13" spans="1:3" ht="14.5">
      <c r="A13" s="111" t="s">
        <v>84</v>
      </c>
      <c r="B13" s="58"/>
      <c r="C13" s="58"/>
    </row>
    <row r="14" spans="1:3" ht="139" customHeight="1">
      <c r="A14" s="324" t="s">
        <v>298</v>
      </c>
      <c r="B14" s="324"/>
      <c r="C14" s="324"/>
    </row>
    <row r="15" spans="1:3" ht="14.5">
      <c r="A15" s="58"/>
      <c r="B15" s="58"/>
      <c r="C15" s="58"/>
    </row>
    <row r="16" spans="1:3">
      <c r="A16" s="112" t="s">
        <v>75</v>
      </c>
      <c r="B16" s="112" t="s">
        <v>94</v>
      </c>
      <c r="C16" s="112" t="s">
        <v>93</v>
      </c>
    </row>
    <row r="17" spans="1:12" ht="29.5" customHeight="1">
      <c r="A17" s="113" t="s">
        <v>88</v>
      </c>
      <c r="B17" s="113" t="s">
        <v>15</v>
      </c>
      <c r="C17" s="113" t="s">
        <v>92</v>
      </c>
    </row>
    <row r="18" spans="1:12" ht="27" customHeight="1">
      <c r="A18" s="113" t="s">
        <v>87</v>
      </c>
      <c r="B18" s="113" t="s">
        <v>116</v>
      </c>
      <c r="C18" s="113"/>
    </row>
    <row r="19" spans="1:12" ht="31.75" customHeight="1">
      <c r="A19" s="113" t="s">
        <v>89</v>
      </c>
      <c r="B19" s="113" t="s">
        <v>117</v>
      </c>
      <c r="C19" s="113"/>
    </row>
    <row r="20" spans="1:12" ht="36.75" customHeight="1">
      <c r="A20" s="113" t="s">
        <v>90</v>
      </c>
      <c r="B20" s="113" t="s">
        <v>212</v>
      </c>
      <c r="C20" s="113" t="s">
        <v>105</v>
      </c>
    </row>
    <row r="21" spans="1:12" ht="136" customHeight="1">
      <c r="A21" s="113" t="s">
        <v>113</v>
      </c>
      <c r="B21" s="113" t="s">
        <v>115</v>
      </c>
      <c r="C21" s="113" t="s">
        <v>213</v>
      </c>
    </row>
    <row r="24" spans="1:12" ht="14.5">
      <c r="F24" s="58"/>
      <c r="G24" s="58"/>
      <c r="H24" s="58"/>
      <c r="I24" s="58"/>
      <c r="J24" s="58"/>
      <c r="K24" s="58"/>
      <c r="L24" s="58"/>
    </row>
    <row r="25" spans="1:12" ht="57.75" customHeight="1">
      <c r="F25" s="114"/>
      <c r="G25" s="114"/>
      <c r="H25" s="114"/>
      <c r="I25" s="114"/>
      <c r="J25" s="114"/>
      <c r="K25" s="114"/>
      <c r="L25" s="114"/>
    </row>
    <row r="26" spans="1:12" ht="14.5">
      <c r="F26" s="58"/>
      <c r="G26" s="58"/>
      <c r="H26" s="58"/>
      <c r="I26" s="58"/>
      <c r="J26" s="58"/>
      <c r="K26" s="58"/>
      <c r="L26" s="58"/>
    </row>
    <row r="27" spans="1:12" ht="14.5">
      <c r="F27" s="58"/>
      <c r="G27" s="58"/>
      <c r="H27" s="58"/>
      <c r="I27" s="58"/>
      <c r="J27" s="58"/>
      <c r="K27" s="58"/>
      <c r="L27" s="58"/>
    </row>
    <row r="28" spans="1:12" ht="14.25" customHeight="1">
      <c r="F28" s="114"/>
      <c r="G28" s="114"/>
      <c r="H28" s="114"/>
      <c r="I28" s="114"/>
      <c r="J28" s="114"/>
      <c r="K28" s="114"/>
      <c r="L28" s="114"/>
    </row>
    <row r="34" ht="88.5" customHeight="1"/>
  </sheetData>
  <sheetProtection algorithmName="SHA-512" hashValue="gtOCkysEDlqMMudulSPYj/z901D6J0MzjGH1t+8GTZJLVjVuxNDoKFygwPE0EUh+otvKmLqnU5eREl9pDTVq1Q==" saltValue="ToPJxsRgzDKK7WFfUqd1Lw==" spinCount="100000" sheet="1" objects="1" scenarios="1"/>
  <mergeCells count="2">
    <mergeCell ref="A14:C14"/>
    <mergeCell ref="A5:C11"/>
  </mergeCells>
  <pageMargins left="0.70866141732283472" right="0.70866141732283472" top="0.78740157480314965" bottom="0.78740157480314965" header="0.31496062992125984" footer="0.31496062992125984"/>
  <pageSetup paperSize="9" scale="7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5448E-EADF-412D-B238-6CB2C76FB9EA}">
  <sheetPr>
    <tabColor theme="4"/>
    <pageSetUpPr fitToPage="1"/>
  </sheetPr>
  <dimension ref="A2:YZ55"/>
  <sheetViews>
    <sheetView topLeftCell="B1" zoomScale="70" zoomScaleNormal="70" workbookViewId="0">
      <selection activeCell="J5" sqref="J5"/>
    </sheetView>
  </sheetViews>
  <sheetFormatPr baseColWidth="10" defaultColWidth="11" defaultRowHeight="14.5"/>
  <cols>
    <col min="1" max="1" width="3.1796875" style="58" customWidth="1"/>
    <col min="2" max="2" width="59.81640625" style="58" customWidth="1"/>
    <col min="3" max="3" width="18.81640625" style="58" customWidth="1"/>
    <col min="4" max="4" width="31" style="58" customWidth="1"/>
    <col min="5" max="6" width="22" style="58" customWidth="1"/>
    <col min="7" max="7" width="8" style="58" bestFit="1" customWidth="1"/>
    <col min="8" max="8" width="2.453125" style="58" customWidth="1"/>
    <col min="9" max="9" width="59.453125" style="58" customWidth="1"/>
    <col min="10" max="10" width="27.36328125" style="58" customWidth="1"/>
    <col min="11" max="11" width="18.81640625" style="58" customWidth="1"/>
    <col min="12" max="12" width="19.81640625" style="58" customWidth="1"/>
    <col min="13" max="13" width="26.453125" style="58" customWidth="1"/>
    <col min="14" max="14" width="2.81640625" style="58" customWidth="1"/>
    <col min="15" max="15" width="2.453125" style="58" customWidth="1"/>
    <col min="16" max="16" width="9" style="58" bestFit="1" customWidth="1"/>
    <col min="17" max="16384" width="11" style="58"/>
  </cols>
  <sheetData>
    <row r="2" spans="1:16" ht="46" customHeight="1">
      <c r="A2" s="54" t="s">
        <v>123</v>
      </c>
      <c r="B2" s="205" t="s">
        <v>125</v>
      </c>
      <c r="C2" s="56"/>
      <c r="D2" s="56"/>
      <c r="E2" s="56"/>
      <c r="F2" s="56"/>
      <c r="G2" s="56"/>
      <c r="H2" s="56"/>
      <c r="I2" s="56"/>
      <c r="J2" s="56"/>
      <c r="K2" s="56"/>
      <c r="L2" s="56"/>
      <c r="M2" s="57"/>
      <c r="N2" s="57"/>
    </row>
    <row r="3" spans="1:16" ht="14.5" customHeight="1">
      <c r="A3" s="57"/>
      <c r="B3" s="57"/>
      <c r="C3" s="57"/>
      <c r="D3" s="57"/>
      <c r="E3" s="57"/>
      <c r="F3" s="57"/>
      <c r="G3" s="57"/>
      <c r="H3" s="57"/>
      <c r="I3" s="57"/>
      <c r="J3" s="57"/>
      <c r="K3" s="57"/>
      <c r="L3" s="57"/>
      <c r="M3" s="57"/>
      <c r="N3" s="57"/>
    </row>
    <row r="4" spans="1:16" ht="23.25" customHeight="1">
      <c r="A4" s="57"/>
      <c r="B4" s="59" t="s">
        <v>112</v>
      </c>
      <c r="C4" s="60"/>
      <c r="D4" s="60"/>
      <c r="E4" s="61"/>
      <c r="F4" s="61"/>
      <c r="G4" s="61"/>
      <c r="H4" s="61"/>
      <c r="I4" s="61"/>
      <c r="J4" s="61"/>
      <c r="K4" s="61"/>
      <c r="L4" s="159" t="s">
        <v>44</v>
      </c>
      <c r="M4" s="64"/>
      <c r="N4" s="64"/>
    </row>
    <row r="5" spans="1:16" ht="23.25" customHeight="1">
      <c r="A5" s="57"/>
      <c r="B5" s="62"/>
      <c r="C5" s="63" t="s">
        <v>108</v>
      </c>
      <c r="D5" s="63"/>
      <c r="E5" s="160">
        <v>25698</v>
      </c>
      <c r="F5" s="64"/>
      <c r="G5" s="64"/>
      <c r="H5" s="64"/>
      <c r="I5" s="116" t="s">
        <v>114</v>
      </c>
      <c r="J5" s="163">
        <v>3007</v>
      </c>
      <c r="K5" s="65"/>
      <c r="L5" s="66"/>
    </row>
    <row r="6" spans="1:16" ht="23.25" customHeight="1">
      <c r="A6" s="57"/>
      <c r="B6" s="62"/>
      <c r="C6" s="63" t="s">
        <v>109</v>
      </c>
      <c r="D6" s="63"/>
      <c r="E6" s="161">
        <v>0.48959999999999998</v>
      </c>
      <c r="F6" s="64"/>
      <c r="G6" s="64"/>
      <c r="H6" s="64"/>
      <c r="I6" s="116" t="s">
        <v>110</v>
      </c>
      <c r="J6" s="164">
        <v>0.47620000000000001</v>
      </c>
      <c r="K6" s="65"/>
      <c r="L6" s="66"/>
      <c r="M6" s="64"/>
      <c r="N6" s="64"/>
    </row>
    <row r="7" spans="1:16" ht="23.25" customHeight="1">
      <c r="A7" s="57"/>
      <c r="B7" s="67"/>
      <c r="C7" s="63" t="s">
        <v>128</v>
      </c>
      <c r="D7" s="63"/>
      <c r="E7" s="162">
        <f>E5*2.5%</f>
        <v>642.45000000000005</v>
      </c>
      <c r="F7" s="64"/>
      <c r="G7" s="64"/>
      <c r="H7" s="64"/>
      <c r="I7" s="116" t="s">
        <v>118</v>
      </c>
      <c r="J7" s="163">
        <v>247</v>
      </c>
      <c r="K7" s="65"/>
      <c r="L7" s="66"/>
      <c r="M7" s="64"/>
      <c r="N7" s="64"/>
      <c r="O7" s="117"/>
    </row>
    <row r="8" spans="1:16" ht="23.25" customHeight="1">
      <c r="A8" s="57"/>
      <c r="B8" s="67"/>
      <c r="C8" s="63" t="s">
        <v>127</v>
      </c>
      <c r="D8" s="63"/>
      <c r="E8" s="160">
        <v>554</v>
      </c>
      <c r="F8" s="64"/>
      <c r="G8" s="64"/>
      <c r="H8" s="64"/>
      <c r="I8" s="116" t="s">
        <v>111</v>
      </c>
      <c r="J8" s="196">
        <v>50</v>
      </c>
      <c r="K8" s="64"/>
      <c r="L8" s="66"/>
      <c r="M8" s="64"/>
      <c r="N8" s="64"/>
      <c r="O8" s="117"/>
    </row>
    <row r="9" spans="1:16" ht="35.5" customHeight="1" thickBot="1">
      <c r="A9" s="57"/>
      <c r="B9" s="200"/>
      <c r="C9" s="197"/>
      <c r="D9" s="197"/>
      <c r="E9" s="197"/>
      <c r="F9" s="197"/>
      <c r="G9" s="197"/>
      <c r="H9" s="197"/>
      <c r="I9" s="198" t="s">
        <v>191</v>
      </c>
      <c r="J9" s="286" t="str">
        <f>Warenkorb!E5</f>
        <v>Ø Preis über den gesamten Zeitraum</v>
      </c>
      <c r="K9" s="199"/>
      <c r="L9" s="201"/>
      <c r="M9" s="64"/>
      <c r="N9" s="64"/>
      <c r="O9" s="117"/>
    </row>
    <row r="10" spans="1:16" ht="15.5" customHeight="1" thickTop="1">
      <c r="A10" s="68"/>
      <c r="B10" s="202"/>
      <c r="C10" s="203"/>
      <c r="D10" s="203"/>
      <c r="E10" s="203"/>
      <c r="F10" s="203"/>
      <c r="G10" s="203"/>
      <c r="H10" s="203"/>
      <c r="I10" s="203"/>
      <c r="J10" s="203"/>
      <c r="K10" s="203"/>
      <c r="L10" s="204"/>
      <c r="M10" s="57"/>
      <c r="N10" s="64"/>
      <c r="O10" s="117"/>
    </row>
    <row r="11" spans="1:16" ht="15.5" customHeight="1">
      <c r="A11" s="68"/>
      <c r="B11" s="98"/>
      <c r="C11" s="65"/>
      <c r="D11" s="65"/>
      <c r="E11" s="65"/>
      <c r="F11" s="65"/>
      <c r="G11" s="65"/>
      <c r="H11" s="65"/>
      <c r="I11" s="65"/>
      <c r="J11" s="65"/>
      <c r="K11" s="65"/>
      <c r="L11" s="65"/>
      <c r="M11" s="57"/>
      <c r="N11" s="64"/>
      <c r="O11" s="117"/>
    </row>
    <row r="12" spans="1:16" ht="20.5">
      <c r="A12" s="68"/>
      <c r="B12" s="69"/>
      <c r="C12" s="69"/>
      <c r="D12" s="69" t="s">
        <v>73</v>
      </c>
      <c r="E12" s="69"/>
      <c r="I12" s="70"/>
      <c r="J12" s="70" t="s">
        <v>72</v>
      </c>
      <c r="K12" s="70"/>
      <c r="L12" s="287"/>
      <c r="M12" s="57"/>
      <c r="N12" s="64"/>
      <c r="O12" s="117"/>
    </row>
    <row r="13" spans="1:16" ht="20.5">
      <c r="A13" s="68"/>
      <c r="B13" s="71"/>
      <c r="C13" s="71"/>
      <c r="D13" s="71"/>
      <c r="E13" s="71"/>
      <c r="F13" s="223"/>
      <c r="G13" s="223"/>
      <c r="H13" s="223"/>
      <c r="I13" s="72"/>
      <c r="J13" s="72"/>
      <c r="K13" s="72"/>
      <c r="L13" s="253"/>
      <c r="M13" s="254"/>
      <c r="N13" s="64"/>
      <c r="O13" s="117"/>
    </row>
    <row r="14" spans="1:16" ht="20.5">
      <c r="A14" s="68"/>
      <c r="B14" s="73" t="s">
        <v>104</v>
      </c>
      <c r="C14" s="74"/>
      <c r="D14" s="74"/>
      <c r="E14" s="75"/>
      <c r="F14" s="223"/>
      <c r="G14" s="223"/>
      <c r="H14" s="223"/>
      <c r="I14" s="73" t="s">
        <v>104</v>
      </c>
      <c r="J14" s="74"/>
      <c r="K14" s="75"/>
      <c r="L14" s="253"/>
      <c r="M14" s="254"/>
      <c r="N14" s="64"/>
      <c r="O14" s="117"/>
    </row>
    <row r="15" spans="1:16" s="78" customFormat="1" ht="29">
      <c r="A15" s="76"/>
      <c r="B15" s="77"/>
      <c r="C15" s="77" t="s">
        <v>86</v>
      </c>
      <c r="D15" s="77" t="s">
        <v>79</v>
      </c>
      <c r="E15" s="77" t="s">
        <v>80</v>
      </c>
      <c r="F15" s="223"/>
      <c r="G15" s="223"/>
      <c r="H15" s="223"/>
      <c r="I15" s="77"/>
      <c r="J15" s="77" t="s">
        <v>91</v>
      </c>
      <c r="K15" s="77" t="s">
        <v>81</v>
      </c>
      <c r="M15" s="254"/>
      <c r="N15" s="64"/>
      <c r="O15" s="117"/>
      <c r="P15" s="58"/>
    </row>
    <row r="16" spans="1:16" ht="20.5">
      <c r="A16" s="68"/>
      <c r="B16" s="218" t="s">
        <v>3</v>
      </c>
      <c r="C16" s="219">
        <f ca="1">EP_Gruppe0</f>
        <v>0.10907381284257904</v>
      </c>
      <c r="D16" s="219">
        <f ca="1">EP_Gruppe1</f>
        <v>0.54025013228702345</v>
      </c>
      <c r="E16" s="219">
        <f ca="1">EP_Gruppe2</f>
        <v>4.4803681403301017</v>
      </c>
      <c r="F16" s="223"/>
      <c r="G16" s="223"/>
      <c r="H16" s="223"/>
      <c r="I16" s="218" t="s">
        <v>3</v>
      </c>
      <c r="J16" s="219">
        <f ca="1">EP_Gruppe3</f>
        <v>0.54025013228702345</v>
      </c>
      <c r="K16" s="219">
        <f ca="1">EP_Gruppe4</f>
        <v>8.1615013347745453</v>
      </c>
      <c r="L16" s="223"/>
      <c r="M16" s="254"/>
      <c r="N16" s="64"/>
      <c r="O16" s="117"/>
      <c r="P16" s="81"/>
    </row>
    <row r="17" spans="1:676" ht="20.5">
      <c r="A17" s="68"/>
      <c r="B17" s="218" t="s">
        <v>22</v>
      </c>
      <c r="C17" s="220">
        <f ca="1">GP_Gruppe0</f>
        <v>0.13088857541109483</v>
      </c>
      <c r="D17" s="220">
        <f ca="1">GP_Gruppe1</f>
        <v>10.805002645740471</v>
      </c>
      <c r="E17" s="220">
        <f ca="1">GP_Gruppe2</f>
        <v>89.607362806602026</v>
      </c>
      <c r="F17" s="223"/>
      <c r="G17" s="223"/>
      <c r="H17" s="223"/>
      <c r="I17" s="218" t="s">
        <v>22</v>
      </c>
      <c r="J17" s="220">
        <f ca="1">GP_Gruppe3</f>
        <v>2.9762325728702352</v>
      </c>
      <c r="K17" s="220">
        <f ca="1">GP_Gruppe4</f>
        <v>103.76663895078192</v>
      </c>
      <c r="L17" s="223"/>
      <c r="M17" s="254"/>
      <c r="N17" s="64"/>
      <c r="O17" s="117"/>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5"/>
      <c r="BW17" s="65"/>
      <c r="BX17" s="65"/>
      <c r="BY17" s="65"/>
      <c r="BZ17" s="65"/>
      <c r="CA17" s="65"/>
      <c r="CB17" s="65"/>
      <c r="CC17" s="65"/>
      <c r="CD17" s="65"/>
      <c r="CE17" s="65"/>
      <c r="CF17" s="65"/>
      <c r="CG17" s="65"/>
      <c r="CH17" s="65"/>
      <c r="CI17" s="65"/>
      <c r="CJ17" s="65"/>
      <c r="CK17" s="65"/>
      <c r="CL17" s="65"/>
      <c r="CM17" s="65"/>
      <c r="CN17" s="65"/>
      <c r="CO17" s="65"/>
      <c r="CP17" s="65"/>
      <c r="CQ17" s="65"/>
      <c r="CR17" s="65"/>
      <c r="CS17" s="65"/>
      <c r="CT17" s="65"/>
      <c r="CU17" s="65"/>
      <c r="CV17" s="65"/>
      <c r="CW17" s="65"/>
      <c r="CX17" s="65"/>
      <c r="CY17" s="65"/>
      <c r="CZ17" s="65"/>
      <c r="DA17" s="65"/>
      <c r="DB17" s="65"/>
      <c r="DC17" s="65"/>
      <c r="DD17" s="65"/>
      <c r="DE17" s="65"/>
      <c r="DF17" s="65"/>
      <c r="DG17" s="65"/>
      <c r="DH17" s="65"/>
      <c r="DI17" s="65"/>
      <c r="DJ17" s="65"/>
      <c r="DK17" s="65"/>
      <c r="DL17" s="65"/>
      <c r="DM17" s="65"/>
      <c r="DN17" s="65"/>
      <c r="DO17" s="65"/>
      <c r="DP17" s="65"/>
      <c r="DQ17" s="65"/>
      <c r="DR17" s="65"/>
      <c r="DS17" s="65"/>
      <c r="DT17" s="65"/>
      <c r="DU17" s="65"/>
      <c r="DV17" s="65"/>
      <c r="DW17" s="65"/>
      <c r="DX17" s="65"/>
      <c r="DY17" s="65"/>
      <c r="DZ17" s="65"/>
      <c r="EA17" s="65"/>
      <c r="EB17" s="65"/>
      <c r="EC17" s="65"/>
      <c r="ED17" s="65"/>
      <c r="EE17" s="65"/>
      <c r="EF17" s="65"/>
      <c r="EG17" s="65"/>
      <c r="EH17" s="65"/>
      <c r="EI17" s="65"/>
      <c r="EJ17" s="65"/>
      <c r="EK17" s="65"/>
      <c r="EL17" s="65"/>
      <c r="EM17" s="65"/>
      <c r="EN17" s="65"/>
      <c r="EO17" s="65"/>
      <c r="EP17" s="65"/>
      <c r="EQ17" s="65"/>
      <c r="ER17" s="65"/>
      <c r="ES17" s="65"/>
      <c r="ET17" s="65"/>
      <c r="EU17" s="65"/>
      <c r="EV17" s="65"/>
      <c r="EW17" s="65"/>
      <c r="EX17" s="65"/>
      <c r="EY17" s="65"/>
      <c r="EZ17" s="65"/>
      <c r="FA17" s="65"/>
      <c r="FB17" s="65"/>
      <c r="FC17" s="65"/>
      <c r="FD17" s="65"/>
      <c r="FE17" s="65"/>
      <c r="FF17" s="65"/>
      <c r="FG17" s="65"/>
      <c r="FH17" s="65"/>
      <c r="FI17" s="65"/>
      <c r="FJ17" s="65"/>
      <c r="FK17" s="65"/>
      <c r="FL17" s="65"/>
      <c r="FM17" s="65"/>
      <c r="FN17" s="65"/>
      <c r="FO17" s="65"/>
      <c r="FP17" s="65"/>
      <c r="FQ17" s="65"/>
      <c r="FR17" s="65"/>
      <c r="FS17" s="65"/>
      <c r="FT17" s="65"/>
      <c r="FU17" s="65"/>
      <c r="FV17" s="65"/>
      <c r="FW17" s="65"/>
      <c r="FX17" s="65"/>
      <c r="FY17" s="65"/>
      <c r="FZ17" s="65"/>
      <c r="GA17" s="65"/>
      <c r="GB17" s="65"/>
      <c r="GC17" s="65"/>
      <c r="GD17" s="65"/>
      <c r="GE17" s="65"/>
      <c r="GF17" s="65"/>
      <c r="GG17" s="65"/>
      <c r="GH17" s="65"/>
      <c r="GI17" s="65"/>
      <c r="GJ17" s="65"/>
      <c r="GK17" s="65"/>
      <c r="GL17" s="65"/>
      <c r="GM17" s="65"/>
      <c r="GN17" s="65"/>
      <c r="GO17" s="65"/>
      <c r="GP17" s="65"/>
      <c r="GQ17" s="65"/>
      <c r="GR17" s="65"/>
      <c r="GS17" s="65"/>
      <c r="GT17" s="65"/>
      <c r="GU17" s="65"/>
      <c r="GV17" s="65"/>
      <c r="GW17" s="65"/>
      <c r="GX17" s="65"/>
      <c r="GY17" s="65"/>
      <c r="GZ17" s="65"/>
      <c r="HA17" s="65"/>
      <c r="HB17" s="65"/>
      <c r="HC17" s="65"/>
      <c r="HD17" s="65"/>
      <c r="HE17" s="65"/>
      <c r="HF17" s="65"/>
      <c r="HG17" s="65"/>
      <c r="HH17" s="65"/>
      <c r="HI17" s="65"/>
      <c r="HJ17" s="65"/>
      <c r="HK17" s="65"/>
      <c r="HL17" s="65"/>
      <c r="HM17" s="65"/>
      <c r="HN17" s="65"/>
      <c r="HO17" s="65"/>
      <c r="HP17" s="65"/>
      <c r="HQ17" s="65"/>
      <c r="HR17" s="65"/>
      <c r="HS17" s="65"/>
      <c r="HT17" s="65"/>
      <c r="HU17" s="65"/>
      <c r="HV17" s="65"/>
      <c r="HW17" s="65"/>
      <c r="HX17" s="65"/>
      <c r="HY17" s="65"/>
      <c r="HZ17" s="65"/>
      <c r="IA17" s="65"/>
      <c r="IB17" s="65"/>
      <c r="IC17" s="65"/>
      <c r="ID17" s="65"/>
      <c r="IE17" s="65"/>
      <c r="IF17" s="65"/>
      <c r="IG17" s="65"/>
      <c r="IH17" s="65"/>
      <c r="II17" s="65"/>
      <c r="IJ17" s="65"/>
      <c r="IK17" s="65"/>
      <c r="IL17" s="65"/>
      <c r="IM17" s="65"/>
      <c r="IN17" s="65"/>
      <c r="IO17" s="65"/>
      <c r="IP17" s="65"/>
      <c r="IQ17" s="65"/>
      <c r="IR17" s="65"/>
      <c r="IS17" s="65"/>
      <c r="IT17" s="65"/>
      <c r="IU17" s="65"/>
      <c r="IV17" s="65"/>
      <c r="IW17" s="65"/>
      <c r="IX17" s="65"/>
      <c r="IY17" s="65"/>
      <c r="IZ17" s="65"/>
      <c r="JA17" s="65"/>
      <c r="JB17" s="65"/>
      <c r="JC17" s="65"/>
      <c r="JD17" s="65"/>
      <c r="JE17" s="65"/>
      <c r="JF17" s="65"/>
      <c r="JG17" s="65"/>
      <c r="JH17" s="65"/>
      <c r="JI17" s="65"/>
      <c r="JJ17" s="65"/>
      <c r="JK17" s="65"/>
      <c r="JL17" s="65"/>
      <c r="JM17" s="65"/>
      <c r="JN17" s="65"/>
      <c r="JO17" s="65"/>
      <c r="JP17" s="65"/>
      <c r="JQ17" s="65"/>
      <c r="JR17" s="65"/>
      <c r="JS17" s="65"/>
      <c r="JT17" s="65"/>
      <c r="JU17" s="65"/>
      <c r="JV17" s="65"/>
      <c r="JW17" s="65"/>
      <c r="JX17" s="65"/>
      <c r="JY17" s="65"/>
      <c r="JZ17" s="65"/>
      <c r="KA17" s="65"/>
      <c r="KB17" s="65"/>
      <c r="KC17" s="65"/>
      <c r="KD17" s="65"/>
      <c r="KE17" s="65"/>
      <c r="KF17" s="65"/>
      <c r="KG17" s="65"/>
      <c r="KH17" s="65"/>
      <c r="KI17" s="65"/>
      <c r="KJ17" s="65"/>
      <c r="KK17" s="65"/>
      <c r="KL17" s="65"/>
      <c r="KM17" s="65"/>
      <c r="KN17" s="65"/>
      <c r="KO17" s="65"/>
      <c r="KP17" s="65"/>
      <c r="KQ17" s="65"/>
      <c r="KR17" s="65"/>
      <c r="KS17" s="65"/>
      <c r="KT17" s="65"/>
      <c r="KU17" s="65"/>
      <c r="KV17" s="65"/>
      <c r="KW17" s="65"/>
      <c r="KX17" s="65"/>
      <c r="KY17" s="65"/>
      <c r="KZ17" s="65"/>
      <c r="LA17" s="65"/>
      <c r="LB17" s="65"/>
      <c r="LC17" s="65"/>
      <c r="LD17" s="65"/>
      <c r="LE17" s="65"/>
      <c r="LF17" s="65"/>
      <c r="LG17" s="65"/>
      <c r="LH17" s="65"/>
      <c r="LI17" s="65"/>
      <c r="LJ17" s="65"/>
      <c r="LK17" s="65"/>
      <c r="LL17" s="65"/>
      <c r="LM17" s="65"/>
      <c r="LN17" s="65"/>
      <c r="LO17" s="65"/>
      <c r="LP17" s="65"/>
      <c r="LQ17" s="65"/>
      <c r="LR17" s="65"/>
      <c r="LS17" s="65"/>
      <c r="LT17" s="65"/>
      <c r="LU17" s="65"/>
      <c r="LV17" s="65"/>
      <c r="LW17" s="65"/>
      <c r="LX17" s="65"/>
      <c r="LY17" s="65"/>
      <c r="LZ17" s="65"/>
      <c r="MA17" s="65"/>
      <c r="MB17" s="65"/>
      <c r="MC17" s="65"/>
      <c r="MD17" s="65"/>
      <c r="ME17" s="65"/>
      <c r="MF17" s="65"/>
      <c r="MG17" s="65"/>
      <c r="MH17" s="65"/>
      <c r="MI17" s="65"/>
      <c r="MJ17" s="65"/>
      <c r="MK17" s="65"/>
      <c r="ML17" s="65"/>
      <c r="MM17" s="65"/>
      <c r="MN17" s="65"/>
      <c r="MO17" s="65"/>
      <c r="MP17" s="65"/>
      <c r="MQ17" s="65"/>
      <c r="MR17" s="65"/>
      <c r="MS17" s="65"/>
      <c r="MT17" s="65"/>
      <c r="MU17" s="65"/>
      <c r="MV17" s="65"/>
      <c r="MW17" s="65"/>
      <c r="MX17" s="65"/>
      <c r="MY17" s="65"/>
      <c r="MZ17" s="65"/>
      <c r="NA17" s="65"/>
      <c r="NB17" s="65"/>
      <c r="NC17" s="65"/>
      <c r="ND17" s="65"/>
      <c r="NE17" s="65"/>
      <c r="NF17" s="65"/>
      <c r="NG17" s="65"/>
      <c r="NH17" s="65"/>
      <c r="NI17" s="65"/>
      <c r="NJ17" s="65"/>
      <c r="NK17" s="65"/>
      <c r="NL17" s="65"/>
      <c r="NM17" s="65"/>
      <c r="NN17" s="65"/>
      <c r="NO17" s="65"/>
      <c r="NP17" s="65"/>
      <c r="NQ17" s="65"/>
      <c r="NR17" s="65"/>
      <c r="NS17" s="65"/>
      <c r="NT17" s="65"/>
      <c r="NU17" s="65"/>
      <c r="NV17" s="65"/>
      <c r="NW17" s="65"/>
      <c r="NX17" s="65"/>
      <c r="NY17" s="65"/>
      <c r="NZ17" s="65"/>
      <c r="OA17" s="65"/>
      <c r="OB17" s="65"/>
      <c r="OC17" s="65"/>
      <c r="OD17" s="65"/>
      <c r="OE17" s="65"/>
      <c r="OF17" s="65"/>
      <c r="OG17" s="65"/>
      <c r="OH17" s="65"/>
      <c r="OI17" s="65"/>
      <c r="OJ17" s="65"/>
      <c r="OK17" s="65"/>
      <c r="OL17" s="65"/>
      <c r="OM17" s="65"/>
      <c r="ON17" s="65"/>
      <c r="OO17" s="65"/>
      <c r="OP17" s="65"/>
      <c r="OQ17" s="65"/>
      <c r="OR17" s="65"/>
      <c r="OS17" s="65"/>
      <c r="OT17" s="65"/>
      <c r="OU17" s="65"/>
      <c r="OV17" s="65"/>
      <c r="OW17" s="65"/>
      <c r="OX17" s="65"/>
      <c r="OY17" s="65"/>
      <c r="OZ17" s="65"/>
      <c r="PA17" s="65"/>
      <c r="PB17" s="65"/>
      <c r="PC17" s="65"/>
      <c r="PD17" s="65"/>
      <c r="PE17" s="65"/>
      <c r="PF17" s="65"/>
      <c r="PG17" s="65"/>
      <c r="PH17" s="65"/>
      <c r="PI17" s="65"/>
      <c r="PJ17" s="65"/>
      <c r="PK17" s="65"/>
      <c r="PL17" s="65"/>
      <c r="PM17" s="65"/>
      <c r="PN17" s="65"/>
      <c r="PO17" s="65"/>
      <c r="PP17" s="65"/>
      <c r="PQ17" s="65"/>
      <c r="PR17" s="65"/>
      <c r="PS17" s="65"/>
      <c r="PT17" s="65"/>
      <c r="PU17" s="65"/>
      <c r="PV17" s="65"/>
      <c r="PW17" s="65"/>
      <c r="PX17" s="65"/>
      <c r="PY17" s="65"/>
      <c r="PZ17" s="65"/>
      <c r="QA17" s="65"/>
      <c r="QB17" s="65"/>
      <c r="QC17" s="65"/>
      <c r="QD17" s="65"/>
      <c r="QE17" s="65"/>
      <c r="QF17" s="65"/>
      <c r="QG17" s="65"/>
      <c r="QH17" s="65"/>
      <c r="QI17" s="65"/>
      <c r="QJ17" s="65"/>
      <c r="QK17" s="65"/>
      <c r="QL17" s="65"/>
      <c r="QM17" s="65"/>
      <c r="QN17" s="65"/>
      <c r="QO17" s="65"/>
      <c r="QP17" s="65"/>
      <c r="QQ17" s="65"/>
      <c r="QR17" s="65"/>
      <c r="QS17" s="65"/>
      <c r="QT17" s="65"/>
      <c r="QU17" s="65"/>
      <c r="QV17" s="65"/>
      <c r="QW17" s="65"/>
      <c r="QX17" s="65"/>
      <c r="QY17" s="65"/>
      <c r="QZ17" s="65"/>
      <c r="RA17" s="65"/>
      <c r="RB17" s="65"/>
      <c r="RC17" s="65"/>
      <c r="RD17" s="65"/>
      <c r="RE17" s="65"/>
      <c r="RF17" s="65"/>
      <c r="RG17" s="65"/>
      <c r="RH17" s="65"/>
      <c r="RI17" s="65"/>
      <c r="RJ17" s="65"/>
      <c r="RK17" s="65"/>
      <c r="RL17" s="65"/>
      <c r="RM17" s="65"/>
      <c r="RN17" s="65"/>
      <c r="RO17" s="65"/>
      <c r="RP17" s="65"/>
      <c r="RQ17" s="65"/>
      <c r="RR17" s="65"/>
      <c r="RS17" s="65"/>
      <c r="RT17" s="65"/>
      <c r="RU17" s="65"/>
      <c r="RV17" s="65"/>
      <c r="RW17" s="65"/>
      <c r="RX17" s="65"/>
      <c r="RY17" s="65"/>
      <c r="RZ17" s="65"/>
      <c r="SA17" s="65"/>
      <c r="SB17" s="65"/>
      <c r="SC17" s="65"/>
      <c r="SD17" s="65"/>
      <c r="SE17" s="65"/>
      <c r="SF17" s="65"/>
      <c r="SG17" s="65"/>
      <c r="SH17" s="65"/>
      <c r="SI17" s="65"/>
      <c r="SJ17" s="65"/>
      <c r="SK17" s="65"/>
      <c r="SL17" s="65"/>
      <c r="SM17" s="65"/>
      <c r="SN17" s="65"/>
      <c r="SO17" s="65"/>
      <c r="SP17" s="65"/>
      <c r="SQ17" s="65"/>
      <c r="SR17" s="65"/>
      <c r="SS17" s="65"/>
      <c r="ST17" s="65"/>
      <c r="SU17" s="65"/>
      <c r="SV17" s="65"/>
      <c r="SW17" s="65"/>
      <c r="SX17" s="65"/>
      <c r="SY17" s="65"/>
      <c r="SZ17" s="65"/>
      <c r="TA17" s="65"/>
      <c r="TB17" s="65"/>
      <c r="TC17" s="65"/>
      <c r="TD17" s="65"/>
      <c r="TE17" s="65"/>
      <c r="TF17" s="65"/>
      <c r="TG17" s="65"/>
      <c r="TH17" s="65"/>
      <c r="TI17" s="65"/>
      <c r="TJ17" s="65"/>
      <c r="TK17" s="65"/>
      <c r="TL17" s="65"/>
      <c r="TM17" s="65"/>
      <c r="TN17" s="65"/>
      <c r="TO17" s="65"/>
      <c r="TP17" s="65"/>
      <c r="TQ17" s="65"/>
      <c r="TR17" s="65"/>
      <c r="TS17" s="65"/>
      <c r="TT17" s="65"/>
      <c r="TU17" s="65"/>
      <c r="TV17" s="65"/>
      <c r="TW17" s="65"/>
      <c r="TX17" s="65"/>
      <c r="TY17" s="65"/>
      <c r="TZ17" s="65"/>
      <c r="UA17" s="65"/>
      <c r="UB17" s="65"/>
      <c r="UC17" s="65"/>
      <c r="UD17" s="65"/>
      <c r="UE17" s="65"/>
      <c r="UF17" s="65"/>
      <c r="UG17" s="65"/>
      <c r="UH17" s="65"/>
      <c r="UI17" s="65"/>
      <c r="UJ17" s="65"/>
      <c r="UK17" s="65"/>
      <c r="UL17" s="65"/>
      <c r="UM17" s="65"/>
      <c r="UN17" s="65"/>
      <c r="UO17" s="65"/>
      <c r="UP17" s="65"/>
      <c r="UQ17" s="65"/>
      <c r="UR17" s="65"/>
      <c r="US17" s="65"/>
      <c r="UT17" s="65"/>
      <c r="UU17" s="65"/>
      <c r="UV17" s="65"/>
      <c r="UW17" s="65"/>
      <c r="UX17" s="65"/>
      <c r="UY17" s="65"/>
      <c r="UZ17" s="65"/>
      <c r="VA17" s="65"/>
      <c r="VB17" s="65"/>
      <c r="VC17" s="65"/>
      <c r="VD17" s="65"/>
      <c r="VE17" s="65"/>
      <c r="VF17" s="65"/>
      <c r="VG17" s="65"/>
      <c r="VH17" s="65"/>
      <c r="VI17" s="65"/>
      <c r="VJ17" s="65"/>
      <c r="VK17" s="65"/>
      <c r="VL17" s="65"/>
      <c r="VM17" s="65"/>
      <c r="VN17" s="65"/>
      <c r="VO17" s="65"/>
      <c r="VP17" s="65"/>
      <c r="VQ17" s="65"/>
      <c r="VR17" s="65"/>
      <c r="VS17" s="65"/>
      <c r="VT17" s="65"/>
      <c r="VU17" s="65"/>
      <c r="VV17" s="65"/>
      <c r="VW17" s="65"/>
      <c r="VX17" s="65"/>
      <c r="VY17" s="65"/>
      <c r="VZ17" s="65"/>
      <c r="WA17" s="65"/>
      <c r="WB17" s="65"/>
      <c r="WC17" s="65"/>
      <c r="WD17" s="65"/>
      <c r="WE17" s="65"/>
      <c r="WF17" s="65"/>
      <c r="WG17" s="65"/>
      <c r="WH17" s="65"/>
      <c r="WI17" s="65"/>
      <c r="WJ17" s="65"/>
      <c r="WK17" s="65"/>
      <c r="WL17" s="65"/>
      <c r="WM17" s="65"/>
      <c r="WN17" s="65"/>
      <c r="WO17" s="65"/>
      <c r="WP17" s="65"/>
      <c r="WQ17" s="65"/>
      <c r="WR17" s="65"/>
      <c r="WS17" s="65"/>
      <c r="WT17" s="65"/>
      <c r="WU17" s="65"/>
      <c r="WV17" s="65"/>
      <c r="WW17" s="65"/>
      <c r="WX17" s="65"/>
      <c r="WY17" s="65"/>
      <c r="WZ17" s="65"/>
      <c r="XA17" s="65"/>
      <c r="XB17" s="65"/>
      <c r="XC17" s="65"/>
      <c r="XD17" s="65"/>
      <c r="XE17" s="65"/>
      <c r="XF17" s="65"/>
      <c r="XG17" s="65"/>
      <c r="XH17" s="65"/>
      <c r="XI17" s="65"/>
      <c r="XJ17" s="65"/>
      <c r="XK17" s="65"/>
      <c r="XL17" s="65"/>
      <c r="XM17" s="65"/>
      <c r="XN17" s="65"/>
      <c r="XO17" s="65"/>
      <c r="XP17" s="65"/>
      <c r="XQ17" s="65"/>
      <c r="XR17" s="65"/>
      <c r="XS17" s="65"/>
      <c r="XT17" s="65"/>
      <c r="XU17" s="65"/>
      <c r="XV17" s="65"/>
      <c r="XW17" s="65"/>
      <c r="XX17" s="65"/>
      <c r="XY17" s="65"/>
      <c r="XZ17" s="65"/>
      <c r="YA17" s="65"/>
      <c r="YB17" s="65"/>
      <c r="YC17" s="65"/>
      <c r="YD17" s="65"/>
      <c r="YE17" s="65"/>
      <c r="YF17" s="65"/>
      <c r="YG17" s="65"/>
      <c r="YH17" s="65"/>
      <c r="YI17" s="65"/>
      <c r="YJ17" s="65"/>
      <c r="YK17" s="65"/>
      <c r="YL17" s="65"/>
      <c r="YM17" s="65"/>
      <c r="YN17" s="65"/>
      <c r="YO17" s="65"/>
      <c r="YP17" s="65"/>
      <c r="YQ17" s="65"/>
      <c r="YR17" s="65"/>
      <c r="YS17" s="65"/>
      <c r="YT17" s="65"/>
      <c r="YU17" s="65"/>
      <c r="YV17" s="65"/>
      <c r="YW17" s="65"/>
      <c r="YX17" s="65"/>
      <c r="YY17" s="65"/>
      <c r="YZ17" s="65"/>
    </row>
    <row r="18" spans="1:676" s="85" customFormat="1" ht="24" customHeight="1">
      <c r="A18" s="83"/>
      <c r="B18" s="221" t="s">
        <v>119</v>
      </c>
      <c r="C18" s="222">
        <v>0</v>
      </c>
      <c r="D18" s="222">
        <v>10</v>
      </c>
      <c r="E18" s="222">
        <v>10</v>
      </c>
      <c r="F18" s="223"/>
      <c r="G18" s="223"/>
      <c r="H18" s="223"/>
      <c r="I18" s="221" t="s">
        <v>119</v>
      </c>
      <c r="J18" s="222">
        <v>10</v>
      </c>
      <c r="K18" s="222">
        <v>10</v>
      </c>
      <c r="L18" s="223"/>
      <c r="M18" s="223"/>
      <c r="N18" s="58"/>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58"/>
      <c r="AU18" s="58"/>
      <c r="AV18" s="58"/>
      <c r="AW18" s="58"/>
      <c r="AX18" s="58"/>
      <c r="AY18" s="58"/>
      <c r="AZ18" s="58"/>
      <c r="BA18" s="58"/>
      <c r="BB18" s="58"/>
      <c r="BC18" s="58"/>
      <c r="BD18" s="58"/>
      <c r="BE18" s="58"/>
      <c r="BF18" s="58"/>
      <c r="BG18" s="58"/>
      <c r="BH18" s="58"/>
      <c r="BI18" s="58"/>
      <c r="BJ18" s="58"/>
      <c r="BK18" s="58"/>
      <c r="BL18" s="58"/>
      <c r="BM18" s="58"/>
      <c r="BN18" s="58"/>
      <c r="BO18" s="58"/>
      <c r="BP18" s="58"/>
      <c r="BQ18" s="58"/>
      <c r="BR18" s="58"/>
      <c r="BS18" s="58"/>
      <c r="BT18" s="58"/>
      <c r="BU18" s="58"/>
      <c r="BV18" s="58"/>
      <c r="BW18" s="58"/>
      <c r="BX18" s="58"/>
      <c r="BY18" s="58"/>
      <c r="BZ18" s="58"/>
      <c r="CA18" s="58"/>
      <c r="CB18" s="58"/>
      <c r="CC18" s="58"/>
      <c r="CD18" s="58"/>
      <c r="CE18" s="58"/>
      <c r="CF18" s="58"/>
      <c r="CG18" s="58"/>
      <c r="CH18" s="58"/>
      <c r="CI18" s="58"/>
      <c r="CJ18" s="58"/>
      <c r="CK18" s="58"/>
      <c r="CL18" s="58"/>
      <c r="CM18" s="58"/>
      <c r="CN18" s="58"/>
      <c r="CO18" s="58"/>
      <c r="CP18" s="58"/>
      <c r="CQ18" s="58"/>
      <c r="CR18" s="58"/>
      <c r="CS18" s="58"/>
      <c r="CT18" s="58"/>
      <c r="CU18" s="58"/>
      <c r="CV18" s="58"/>
      <c r="CW18" s="58"/>
      <c r="CX18" s="58"/>
      <c r="CY18" s="58"/>
      <c r="CZ18" s="58"/>
      <c r="DA18" s="58"/>
      <c r="DB18" s="58"/>
      <c r="DC18" s="58"/>
      <c r="DD18" s="58"/>
      <c r="DE18" s="58"/>
      <c r="DF18" s="58"/>
      <c r="DG18" s="58"/>
      <c r="DH18" s="58"/>
      <c r="DI18" s="58"/>
      <c r="DJ18" s="58"/>
      <c r="DK18" s="58"/>
      <c r="DL18" s="58"/>
      <c r="DM18" s="58"/>
      <c r="DN18" s="58"/>
      <c r="DO18" s="58"/>
      <c r="DP18" s="58"/>
      <c r="DQ18" s="58"/>
      <c r="DR18" s="58"/>
      <c r="DS18" s="58"/>
      <c r="DT18" s="58"/>
      <c r="DU18" s="58"/>
      <c r="DV18" s="58"/>
      <c r="DW18" s="58"/>
      <c r="DX18" s="58"/>
      <c r="DY18" s="58"/>
      <c r="DZ18" s="58"/>
      <c r="EA18" s="58"/>
      <c r="EB18" s="58"/>
      <c r="EC18" s="58"/>
      <c r="ED18" s="58"/>
      <c r="EE18" s="58"/>
      <c r="EF18" s="58"/>
      <c r="EG18" s="58"/>
      <c r="EH18" s="58"/>
      <c r="EI18" s="58"/>
      <c r="EJ18" s="58"/>
      <c r="EK18" s="58"/>
      <c r="EL18" s="58"/>
      <c r="EM18" s="58"/>
      <c r="EN18" s="58"/>
      <c r="EO18" s="58"/>
      <c r="EP18" s="58"/>
      <c r="EQ18" s="58"/>
      <c r="ER18" s="58"/>
      <c r="ES18" s="58"/>
      <c r="ET18" s="58"/>
      <c r="EU18" s="58"/>
      <c r="EV18" s="58"/>
      <c r="EW18" s="58"/>
      <c r="EX18" s="58"/>
      <c r="EY18" s="58"/>
      <c r="EZ18" s="58"/>
      <c r="FA18" s="58"/>
      <c r="FB18" s="58"/>
      <c r="FC18" s="58"/>
      <c r="FD18" s="58"/>
      <c r="FE18" s="58"/>
      <c r="FF18" s="58"/>
      <c r="FG18" s="58"/>
      <c r="FH18" s="58"/>
      <c r="FI18" s="58"/>
      <c r="FJ18" s="58"/>
      <c r="FK18" s="58"/>
      <c r="FL18" s="58"/>
      <c r="FM18" s="58"/>
      <c r="FN18" s="58"/>
      <c r="FO18" s="58"/>
      <c r="FP18" s="58"/>
      <c r="FQ18" s="58"/>
      <c r="FR18" s="58"/>
      <c r="FS18" s="58"/>
      <c r="FT18" s="58"/>
      <c r="FU18" s="58"/>
      <c r="FV18" s="58"/>
      <c r="FW18" s="58"/>
      <c r="FX18" s="58"/>
      <c r="FY18" s="58"/>
      <c r="FZ18" s="58"/>
      <c r="GA18" s="84"/>
      <c r="GB18" s="84"/>
      <c r="GC18" s="84"/>
      <c r="GD18" s="84"/>
      <c r="GE18" s="84"/>
      <c r="GF18" s="84"/>
      <c r="GG18" s="84"/>
      <c r="GH18" s="84"/>
      <c r="GI18" s="84"/>
      <c r="GJ18" s="84"/>
      <c r="GK18" s="84"/>
      <c r="GL18" s="84"/>
      <c r="GM18" s="84"/>
      <c r="GN18" s="84"/>
      <c r="GO18" s="84"/>
      <c r="GP18" s="84"/>
      <c r="GQ18" s="84"/>
      <c r="GR18" s="84"/>
      <c r="GS18" s="84"/>
      <c r="GT18" s="84"/>
      <c r="GU18" s="84"/>
      <c r="GV18" s="84"/>
      <c r="GW18" s="84"/>
      <c r="GX18" s="84"/>
      <c r="GY18" s="84"/>
      <c r="GZ18" s="84"/>
      <c r="HA18" s="84"/>
      <c r="HB18" s="84"/>
      <c r="HC18" s="84"/>
      <c r="HD18" s="84"/>
      <c r="HE18" s="84"/>
      <c r="HF18" s="84"/>
      <c r="HG18" s="84"/>
      <c r="HH18" s="84"/>
      <c r="HI18" s="84"/>
      <c r="HJ18" s="84"/>
      <c r="HK18" s="84"/>
      <c r="HL18" s="84"/>
      <c r="HM18" s="84"/>
      <c r="HN18" s="84"/>
      <c r="HO18" s="84"/>
      <c r="HP18" s="84"/>
      <c r="HQ18" s="84"/>
      <c r="HR18" s="84"/>
      <c r="HS18" s="84"/>
      <c r="HT18" s="84"/>
      <c r="HU18" s="84"/>
      <c r="HV18" s="84"/>
      <c r="HW18" s="84"/>
      <c r="HX18" s="84"/>
      <c r="HY18" s="84"/>
      <c r="HZ18" s="84"/>
      <c r="IA18" s="84"/>
      <c r="IB18" s="84"/>
      <c r="IC18" s="84"/>
      <c r="ID18" s="84"/>
      <c r="IE18" s="84"/>
      <c r="IF18" s="84"/>
      <c r="IG18" s="84"/>
      <c r="IH18" s="84"/>
      <c r="II18" s="84"/>
      <c r="IJ18" s="84"/>
      <c r="IK18" s="84"/>
      <c r="IL18" s="84"/>
      <c r="IM18" s="84"/>
      <c r="IN18" s="84"/>
      <c r="IO18" s="84"/>
      <c r="IP18" s="84"/>
      <c r="IQ18" s="84"/>
      <c r="IR18" s="84"/>
      <c r="IS18" s="84"/>
      <c r="IT18" s="84"/>
      <c r="IU18" s="84"/>
      <c r="IV18" s="84"/>
      <c r="IW18" s="84"/>
      <c r="IX18" s="84"/>
      <c r="IY18" s="84"/>
      <c r="IZ18" s="84"/>
      <c r="JA18" s="84"/>
      <c r="JB18" s="84"/>
      <c r="JC18" s="84"/>
      <c r="JD18" s="84"/>
      <c r="JE18" s="84"/>
      <c r="JF18" s="84"/>
      <c r="JG18" s="84"/>
      <c r="JH18" s="84"/>
      <c r="JI18" s="84"/>
      <c r="JJ18" s="84"/>
      <c r="JK18" s="84"/>
      <c r="JL18" s="84"/>
      <c r="JM18" s="84"/>
      <c r="JN18" s="84"/>
      <c r="JO18" s="84"/>
      <c r="JP18" s="84"/>
      <c r="JQ18" s="84"/>
      <c r="JR18" s="84"/>
      <c r="JS18" s="84"/>
      <c r="JT18" s="84"/>
      <c r="JU18" s="84"/>
      <c r="JV18" s="84"/>
      <c r="JW18" s="84"/>
      <c r="JX18" s="84"/>
      <c r="JY18" s="84"/>
      <c r="JZ18" s="84"/>
      <c r="KA18" s="84"/>
      <c r="KB18" s="84"/>
      <c r="KC18" s="84"/>
      <c r="KD18" s="84"/>
      <c r="KE18" s="84"/>
      <c r="KF18" s="84"/>
      <c r="KG18" s="84"/>
      <c r="KH18" s="84"/>
      <c r="KI18" s="84"/>
      <c r="KJ18" s="84"/>
      <c r="KK18" s="84"/>
      <c r="KL18" s="84"/>
      <c r="KM18" s="84"/>
      <c r="KN18" s="84"/>
      <c r="KO18" s="84"/>
      <c r="KP18" s="84"/>
      <c r="KQ18" s="84"/>
      <c r="KR18" s="84"/>
      <c r="KS18" s="84"/>
      <c r="KT18" s="84"/>
      <c r="KU18" s="84"/>
      <c r="KV18" s="84"/>
      <c r="KW18" s="84"/>
      <c r="KX18" s="84"/>
      <c r="KY18" s="84"/>
      <c r="KZ18" s="84"/>
      <c r="LA18" s="84"/>
      <c r="LB18" s="84"/>
      <c r="LC18" s="84"/>
      <c r="LD18" s="84"/>
      <c r="LE18" s="84"/>
      <c r="LF18" s="84"/>
      <c r="LG18" s="84"/>
      <c r="LH18" s="84"/>
      <c r="LI18" s="84"/>
      <c r="LJ18" s="84"/>
      <c r="LK18" s="84"/>
      <c r="LL18" s="84"/>
      <c r="LM18" s="84"/>
      <c r="LN18" s="84"/>
      <c r="LO18" s="84"/>
      <c r="LP18" s="84"/>
      <c r="LQ18" s="84"/>
      <c r="LR18" s="84"/>
      <c r="LS18" s="84"/>
      <c r="LT18" s="84"/>
      <c r="LU18" s="84"/>
      <c r="LV18" s="84"/>
      <c r="LW18" s="84"/>
      <c r="LX18" s="84"/>
      <c r="LY18" s="84"/>
      <c r="LZ18" s="84"/>
      <c r="MA18" s="84"/>
      <c r="MB18" s="84"/>
      <c r="MC18" s="84"/>
      <c r="MD18" s="84"/>
      <c r="ME18" s="84"/>
      <c r="MF18" s="84"/>
      <c r="MG18" s="84"/>
      <c r="MH18" s="84"/>
      <c r="MI18" s="84"/>
      <c r="MJ18" s="84"/>
      <c r="MK18" s="84"/>
      <c r="ML18" s="84"/>
      <c r="MM18" s="84"/>
      <c r="MN18" s="84"/>
      <c r="MO18" s="84"/>
      <c r="MP18" s="84"/>
      <c r="MQ18" s="84"/>
      <c r="MR18" s="84"/>
      <c r="MS18" s="84"/>
      <c r="MT18" s="84"/>
      <c r="MU18" s="84"/>
      <c r="MV18" s="84"/>
      <c r="MW18" s="84"/>
      <c r="MX18" s="84"/>
      <c r="MY18" s="84"/>
      <c r="MZ18" s="84"/>
      <c r="NA18" s="84"/>
      <c r="NB18" s="84"/>
      <c r="NC18" s="84"/>
      <c r="ND18" s="84"/>
      <c r="NE18" s="84"/>
      <c r="NF18" s="84"/>
      <c r="NG18" s="84"/>
      <c r="NH18" s="84"/>
      <c r="NI18" s="84"/>
      <c r="NJ18" s="84"/>
      <c r="NK18" s="84"/>
      <c r="NL18" s="84"/>
      <c r="NM18" s="84"/>
      <c r="NN18" s="84"/>
      <c r="NO18" s="84"/>
      <c r="NP18" s="84"/>
      <c r="NQ18" s="84"/>
      <c r="NR18" s="84"/>
      <c r="NS18" s="84"/>
      <c r="NT18" s="84"/>
      <c r="NU18" s="84"/>
      <c r="NV18" s="84"/>
      <c r="NW18" s="84"/>
      <c r="NX18" s="84"/>
      <c r="NY18" s="84"/>
      <c r="NZ18" s="84"/>
      <c r="OA18" s="84"/>
      <c r="OB18" s="84"/>
      <c r="OC18" s="84"/>
      <c r="OD18" s="84"/>
      <c r="OE18" s="84"/>
      <c r="OF18" s="84"/>
      <c r="OG18" s="84"/>
      <c r="OH18" s="84"/>
      <c r="OI18" s="84"/>
      <c r="OJ18" s="84"/>
      <c r="OK18" s="84"/>
      <c r="OL18" s="84"/>
      <c r="OM18" s="84"/>
      <c r="ON18" s="84"/>
      <c r="OO18" s="84"/>
      <c r="OP18" s="84"/>
      <c r="OQ18" s="84"/>
      <c r="OR18" s="84"/>
      <c r="OS18" s="84"/>
      <c r="OT18" s="84"/>
      <c r="OU18" s="84"/>
      <c r="OV18" s="84"/>
      <c r="OW18" s="84"/>
      <c r="OX18" s="84"/>
      <c r="OY18" s="84"/>
      <c r="OZ18" s="84"/>
      <c r="PA18" s="84"/>
      <c r="PB18" s="84"/>
      <c r="PC18" s="84"/>
      <c r="PD18" s="84"/>
      <c r="PE18" s="84"/>
      <c r="PF18" s="84"/>
      <c r="PG18" s="84"/>
      <c r="PH18" s="84"/>
      <c r="PI18" s="84"/>
      <c r="PJ18" s="84"/>
      <c r="PK18" s="84"/>
      <c r="PL18" s="84"/>
      <c r="PM18" s="84"/>
      <c r="PN18" s="84"/>
      <c r="PO18" s="84"/>
      <c r="PP18" s="84"/>
      <c r="PQ18" s="84"/>
      <c r="PR18" s="84"/>
      <c r="PS18" s="84"/>
      <c r="PT18" s="84"/>
      <c r="PU18" s="84"/>
      <c r="PV18" s="84"/>
      <c r="PW18" s="84"/>
      <c r="PX18" s="84"/>
      <c r="PY18" s="84"/>
      <c r="PZ18" s="84"/>
      <c r="QA18" s="84"/>
      <c r="QB18" s="84"/>
      <c r="QC18" s="84"/>
      <c r="QD18" s="84"/>
      <c r="QE18" s="84"/>
      <c r="QF18" s="84"/>
      <c r="QG18" s="84"/>
      <c r="QH18" s="84"/>
      <c r="QI18" s="84"/>
      <c r="QJ18" s="84"/>
      <c r="QK18" s="84"/>
      <c r="QL18" s="84"/>
      <c r="QM18" s="84"/>
      <c r="QN18" s="84"/>
      <c r="QO18" s="84"/>
      <c r="QP18" s="84"/>
      <c r="QQ18" s="84"/>
      <c r="QR18" s="84"/>
      <c r="QS18" s="84"/>
      <c r="QT18" s="84"/>
      <c r="QU18" s="84"/>
      <c r="QV18" s="84"/>
      <c r="QW18" s="84"/>
      <c r="QX18" s="84"/>
      <c r="QY18" s="84"/>
      <c r="QZ18" s="84"/>
      <c r="RA18" s="84"/>
      <c r="RB18" s="84"/>
      <c r="RC18" s="84"/>
      <c r="RD18" s="84"/>
      <c r="RE18" s="84"/>
      <c r="RF18" s="84"/>
      <c r="RG18" s="84"/>
      <c r="RH18" s="84"/>
      <c r="RI18" s="84"/>
      <c r="RJ18" s="84"/>
      <c r="RK18" s="84"/>
      <c r="RL18" s="84"/>
      <c r="RM18" s="84"/>
      <c r="RN18" s="84"/>
      <c r="RO18" s="84"/>
      <c r="RP18" s="84"/>
      <c r="RQ18" s="84"/>
      <c r="RR18" s="84"/>
      <c r="RS18" s="84"/>
      <c r="RT18" s="84"/>
      <c r="RU18" s="84"/>
      <c r="RV18" s="84"/>
      <c r="RW18" s="84"/>
      <c r="RX18" s="84"/>
      <c r="RY18" s="84"/>
      <c r="RZ18" s="84"/>
      <c r="SA18" s="84"/>
      <c r="SB18" s="84"/>
      <c r="SC18" s="84"/>
      <c r="SD18" s="84"/>
      <c r="SE18" s="84"/>
      <c r="SF18" s="84"/>
      <c r="SG18" s="84"/>
      <c r="SH18" s="84"/>
      <c r="SI18" s="84"/>
      <c r="SJ18" s="84"/>
      <c r="SK18" s="84"/>
      <c r="SL18" s="84"/>
      <c r="SM18" s="84"/>
      <c r="SN18" s="84"/>
      <c r="SO18" s="84"/>
      <c r="SP18" s="84"/>
      <c r="SQ18" s="84"/>
      <c r="SR18" s="84"/>
      <c r="SS18" s="84"/>
      <c r="ST18" s="84"/>
      <c r="SU18" s="84"/>
      <c r="SV18" s="84"/>
      <c r="SW18" s="84"/>
      <c r="SX18" s="84"/>
      <c r="SY18" s="84"/>
      <c r="SZ18" s="84"/>
      <c r="TA18" s="84"/>
      <c r="TB18" s="84"/>
      <c r="TC18" s="84"/>
      <c r="TD18" s="84"/>
      <c r="TE18" s="84"/>
      <c r="TF18" s="84"/>
      <c r="TG18" s="84"/>
      <c r="TH18" s="84"/>
      <c r="TI18" s="84"/>
      <c r="TJ18" s="84"/>
      <c r="TK18" s="84"/>
      <c r="TL18" s="84"/>
      <c r="TM18" s="84"/>
      <c r="TN18" s="84"/>
      <c r="TO18" s="84"/>
      <c r="TP18" s="84"/>
      <c r="TQ18" s="84"/>
      <c r="TR18" s="84"/>
      <c r="TS18" s="84"/>
      <c r="TT18" s="84"/>
      <c r="TU18" s="84"/>
      <c r="TV18" s="84"/>
      <c r="TW18" s="84"/>
      <c r="TX18" s="84"/>
      <c r="TY18" s="84"/>
      <c r="TZ18" s="84"/>
      <c r="UA18" s="84"/>
      <c r="UB18" s="84"/>
      <c r="UC18" s="84"/>
      <c r="UD18" s="84"/>
      <c r="UE18" s="84"/>
      <c r="UF18" s="84"/>
      <c r="UG18" s="84"/>
      <c r="UH18" s="84"/>
      <c r="UI18" s="84"/>
      <c r="UJ18" s="84"/>
      <c r="UK18" s="84"/>
      <c r="UL18" s="84"/>
      <c r="UM18" s="84"/>
      <c r="UN18" s="84"/>
      <c r="UO18" s="84"/>
      <c r="UP18" s="84"/>
      <c r="UQ18" s="84"/>
      <c r="UR18" s="84"/>
      <c r="US18" s="84"/>
      <c r="UT18" s="84"/>
      <c r="UU18" s="84"/>
      <c r="UV18" s="84"/>
      <c r="UW18" s="84"/>
      <c r="UX18" s="84"/>
      <c r="UY18" s="84"/>
      <c r="UZ18" s="84"/>
      <c r="VA18" s="84"/>
      <c r="VB18" s="84"/>
      <c r="VC18" s="84"/>
      <c r="VD18" s="84"/>
      <c r="VE18" s="84"/>
      <c r="VF18" s="84"/>
      <c r="VG18" s="84"/>
      <c r="VH18" s="84"/>
      <c r="VI18" s="84"/>
      <c r="VJ18" s="84"/>
      <c r="VK18" s="84"/>
      <c r="VL18" s="84"/>
      <c r="VM18" s="84"/>
      <c r="VN18" s="84"/>
      <c r="VO18" s="84"/>
      <c r="VP18" s="84"/>
      <c r="VQ18" s="84"/>
      <c r="VR18" s="84"/>
      <c r="VS18" s="84"/>
      <c r="VT18" s="84"/>
      <c r="VU18" s="84"/>
      <c r="VV18" s="84"/>
      <c r="VW18" s="84"/>
      <c r="VX18" s="84"/>
      <c r="VY18" s="84"/>
      <c r="VZ18" s="84"/>
      <c r="WA18" s="84"/>
      <c r="WB18" s="84"/>
      <c r="WC18" s="84"/>
      <c r="WD18" s="84"/>
      <c r="WE18" s="84"/>
      <c r="WF18" s="84"/>
      <c r="WG18" s="84"/>
      <c r="WH18" s="84"/>
      <c r="WI18" s="84"/>
      <c r="WJ18" s="84"/>
      <c r="WK18" s="84"/>
      <c r="WL18" s="84"/>
      <c r="WM18" s="84"/>
      <c r="WN18" s="84"/>
      <c r="WO18" s="84"/>
      <c r="WP18" s="84"/>
      <c r="WQ18" s="84"/>
      <c r="WR18" s="84"/>
      <c r="WS18" s="84"/>
      <c r="WT18" s="84"/>
      <c r="WU18" s="84"/>
      <c r="WV18" s="84"/>
      <c r="WW18" s="84"/>
      <c r="WX18" s="84"/>
      <c r="WY18" s="84"/>
      <c r="WZ18" s="84"/>
      <c r="XA18" s="84"/>
      <c r="XB18" s="84"/>
      <c r="XC18" s="84"/>
      <c r="XD18" s="84"/>
      <c r="XE18" s="84"/>
      <c r="XF18" s="84"/>
      <c r="XG18" s="84"/>
      <c r="XH18" s="84"/>
      <c r="XI18" s="84"/>
      <c r="XJ18" s="84"/>
      <c r="XK18" s="84"/>
      <c r="XL18" s="84"/>
      <c r="XM18" s="84"/>
      <c r="XN18" s="84"/>
      <c r="XO18" s="84"/>
      <c r="XP18" s="84"/>
      <c r="XQ18" s="84"/>
      <c r="XR18" s="84"/>
      <c r="XS18" s="84"/>
      <c r="XT18" s="84"/>
      <c r="XU18" s="84"/>
      <c r="XV18" s="84"/>
      <c r="XW18" s="84"/>
      <c r="XX18" s="84"/>
      <c r="XY18" s="84"/>
      <c r="XZ18" s="84"/>
      <c r="YA18" s="84"/>
      <c r="YB18" s="84"/>
      <c r="YC18" s="84"/>
      <c r="YD18" s="84"/>
      <c r="YE18" s="84"/>
      <c r="YF18" s="84"/>
      <c r="YG18" s="84"/>
      <c r="YH18" s="84"/>
      <c r="YI18" s="84"/>
      <c r="YJ18" s="84"/>
      <c r="YK18" s="84"/>
      <c r="YL18" s="84"/>
      <c r="YM18" s="84"/>
      <c r="YN18" s="84"/>
      <c r="YO18" s="84"/>
      <c r="YP18" s="84"/>
      <c r="YQ18" s="84"/>
      <c r="YR18" s="84"/>
      <c r="YS18" s="84"/>
      <c r="YT18" s="84"/>
      <c r="YU18" s="84"/>
      <c r="YV18" s="84"/>
      <c r="YW18" s="84"/>
      <c r="YX18" s="84"/>
      <c r="YY18" s="84"/>
      <c r="YZ18" s="84"/>
    </row>
    <row r="19" spans="1:676" ht="17.25" customHeight="1">
      <c r="A19" s="68"/>
      <c r="B19" s="223"/>
      <c r="C19" s="224"/>
      <c r="D19" s="224"/>
      <c r="E19" s="224"/>
      <c r="F19" s="255" t="s">
        <v>74</v>
      </c>
      <c r="G19" s="255"/>
      <c r="H19" s="223"/>
      <c r="I19" s="223"/>
      <c r="J19" s="223"/>
      <c r="K19" s="223"/>
      <c r="L19" s="255" t="s">
        <v>74</v>
      </c>
      <c r="M19" s="254"/>
      <c r="N19" s="64"/>
      <c r="O19" s="117"/>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5"/>
      <c r="BH19" s="65"/>
      <c r="BI19" s="65"/>
      <c r="BJ19" s="65"/>
      <c r="BK19" s="65"/>
      <c r="BL19" s="65"/>
      <c r="BM19" s="65"/>
      <c r="BN19" s="65"/>
      <c r="BO19" s="65"/>
      <c r="BP19" s="65"/>
      <c r="BQ19" s="65"/>
      <c r="BR19" s="65"/>
      <c r="BS19" s="65"/>
      <c r="BT19" s="65"/>
      <c r="BU19" s="65"/>
      <c r="BV19" s="65"/>
      <c r="BW19" s="65"/>
      <c r="BX19" s="65"/>
      <c r="BY19" s="65"/>
      <c r="BZ19" s="65"/>
      <c r="CA19" s="65"/>
      <c r="CB19" s="65"/>
      <c r="CC19" s="65"/>
      <c r="CD19" s="65"/>
      <c r="CE19" s="65"/>
      <c r="CF19" s="65"/>
      <c r="CG19" s="65"/>
      <c r="CH19" s="65"/>
      <c r="CI19" s="65"/>
      <c r="CJ19" s="65"/>
      <c r="CK19" s="65"/>
      <c r="CL19" s="65"/>
      <c r="CM19" s="65"/>
      <c r="CN19" s="65"/>
      <c r="CO19" s="65"/>
      <c r="CP19" s="65"/>
      <c r="CQ19" s="65"/>
      <c r="CR19" s="65"/>
      <c r="CS19" s="65"/>
      <c r="CT19" s="65"/>
      <c r="CU19" s="65"/>
      <c r="CV19" s="65"/>
      <c r="CW19" s="65"/>
      <c r="CX19" s="65"/>
      <c r="CY19" s="65"/>
      <c r="CZ19" s="65"/>
      <c r="DA19" s="65"/>
      <c r="DB19" s="65"/>
      <c r="DC19" s="65"/>
      <c r="DD19" s="65"/>
      <c r="DE19" s="65"/>
      <c r="DF19" s="65"/>
      <c r="DG19" s="65"/>
      <c r="DH19" s="65"/>
      <c r="DI19" s="65"/>
      <c r="DJ19" s="65"/>
      <c r="DK19" s="65"/>
      <c r="DL19" s="65"/>
      <c r="DM19" s="65"/>
      <c r="DN19" s="65"/>
      <c r="DO19" s="65"/>
      <c r="DP19" s="65"/>
      <c r="DQ19" s="65"/>
      <c r="DR19" s="65"/>
      <c r="DS19" s="65"/>
      <c r="DT19" s="65"/>
      <c r="DU19" s="65"/>
      <c r="DV19" s="65"/>
      <c r="DW19" s="65"/>
      <c r="DX19" s="65"/>
      <c r="DY19" s="65"/>
      <c r="DZ19" s="65"/>
      <c r="EA19" s="65"/>
      <c r="EB19" s="65"/>
      <c r="EC19" s="65"/>
      <c r="ED19" s="65"/>
      <c r="EE19" s="65"/>
      <c r="EF19" s="65"/>
      <c r="EG19" s="65"/>
      <c r="EH19" s="65"/>
      <c r="EI19" s="65"/>
      <c r="EJ19" s="65"/>
      <c r="EK19" s="65"/>
      <c r="EL19" s="65"/>
      <c r="EM19" s="65"/>
      <c r="EN19" s="65"/>
      <c r="EO19" s="65"/>
      <c r="EP19" s="65"/>
      <c r="EQ19" s="65"/>
      <c r="ER19" s="65"/>
      <c r="ES19" s="65"/>
      <c r="ET19" s="65"/>
      <c r="EU19" s="65"/>
      <c r="EV19" s="65"/>
      <c r="EW19" s="65"/>
      <c r="EX19" s="65"/>
      <c r="EY19" s="65"/>
      <c r="EZ19" s="65"/>
      <c r="FA19" s="65"/>
      <c r="FB19" s="65"/>
      <c r="FC19" s="65"/>
      <c r="FD19" s="65"/>
      <c r="FE19" s="65"/>
      <c r="FF19" s="65"/>
      <c r="FG19" s="65"/>
      <c r="FH19" s="65"/>
      <c r="FI19" s="65"/>
      <c r="FJ19" s="65"/>
      <c r="FK19" s="65"/>
      <c r="FL19" s="65"/>
      <c r="FM19" s="65"/>
      <c r="FN19" s="65"/>
      <c r="FO19" s="65"/>
      <c r="FP19" s="65"/>
      <c r="FQ19" s="65"/>
      <c r="FR19" s="65"/>
      <c r="FS19" s="65"/>
      <c r="FT19" s="65"/>
      <c r="FU19" s="65"/>
      <c r="FV19" s="65"/>
      <c r="FW19" s="65"/>
      <c r="FX19" s="65"/>
      <c r="FY19" s="65"/>
      <c r="FZ19" s="65"/>
      <c r="GA19" s="65"/>
      <c r="GB19" s="65"/>
      <c r="GC19" s="65"/>
      <c r="GD19" s="65"/>
      <c r="GE19" s="65"/>
      <c r="GF19" s="65"/>
      <c r="GG19" s="65"/>
      <c r="GH19" s="65"/>
      <c r="GI19" s="65"/>
      <c r="GJ19" s="65"/>
      <c r="GK19" s="65"/>
      <c r="GL19" s="65"/>
      <c r="GM19" s="65"/>
      <c r="GN19" s="65"/>
      <c r="GO19" s="65"/>
      <c r="GP19" s="65"/>
      <c r="GQ19" s="65"/>
      <c r="GR19" s="65"/>
      <c r="GS19" s="65"/>
      <c r="GT19" s="65"/>
      <c r="GU19" s="65"/>
      <c r="GV19" s="65"/>
      <c r="GW19" s="65"/>
      <c r="GX19" s="65"/>
      <c r="GY19" s="65"/>
      <c r="GZ19" s="65"/>
      <c r="HA19" s="65"/>
      <c r="HB19" s="65"/>
      <c r="HC19" s="65"/>
      <c r="HD19" s="65"/>
      <c r="HE19" s="65"/>
      <c r="HF19" s="65"/>
      <c r="HG19" s="65"/>
      <c r="HH19" s="65"/>
      <c r="HI19" s="65"/>
      <c r="HJ19" s="65"/>
      <c r="HK19" s="65"/>
      <c r="HL19" s="65"/>
      <c r="HM19" s="65"/>
      <c r="HN19" s="65"/>
      <c r="HO19" s="65"/>
      <c r="HP19" s="65"/>
      <c r="HQ19" s="65"/>
      <c r="HR19" s="65"/>
      <c r="HS19" s="65"/>
      <c r="HT19" s="65"/>
      <c r="HU19" s="65"/>
      <c r="HV19" s="65"/>
      <c r="HW19" s="65"/>
      <c r="HX19" s="65"/>
      <c r="HY19" s="65"/>
      <c r="HZ19" s="65"/>
      <c r="IA19" s="65"/>
      <c r="IB19" s="65"/>
      <c r="IC19" s="65"/>
      <c r="ID19" s="65"/>
      <c r="IE19" s="65"/>
      <c r="IF19" s="65"/>
      <c r="IG19" s="65"/>
      <c r="IH19" s="65"/>
      <c r="II19" s="65"/>
      <c r="IJ19" s="65"/>
      <c r="IK19" s="65"/>
      <c r="IL19" s="65"/>
      <c r="IM19" s="65"/>
      <c r="IN19" s="65"/>
      <c r="IO19" s="65"/>
      <c r="IP19" s="65"/>
      <c r="IQ19" s="65"/>
      <c r="IR19" s="65"/>
      <c r="IS19" s="65"/>
      <c r="IT19" s="65"/>
      <c r="IU19" s="65"/>
      <c r="IV19" s="65"/>
      <c r="IW19" s="65"/>
      <c r="IX19" s="65"/>
      <c r="IY19" s="65"/>
      <c r="IZ19" s="65"/>
      <c r="JA19" s="65"/>
      <c r="JB19" s="65"/>
      <c r="JC19" s="65"/>
      <c r="JD19" s="65"/>
      <c r="JE19" s="65"/>
      <c r="JF19" s="65"/>
      <c r="JG19" s="65"/>
      <c r="JH19" s="65"/>
      <c r="JI19" s="65"/>
      <c r="JJ19" s="65"/>
      <c r="JK19" s="65"/>
      <c r="JL19" s="65"/>
      <c r="JM19" s="65"/>
      <c r="JN19" s="65"/>
      <c r="JO19" s="65"/>
      <c r="JP19" s="65"/>
      <c r="JQ19" s="65"/>
      <c r="JR19" s="65"/>
      <c r="JS19" s="65"/>
      <c r="JT19" s="65"/>
      <c r="JU19" s="65"/>
      <c r="JV19" s="65"/>
      <c r="JW19" s="65"/>
      <c r="JX19" s="65"/>
      <c r="JY19" s="65"/>
      <c r="JZ19" s="65"/>
      <c r="KA19" s="65"/>
      <c r="KB19" s="65"/>
      <c r="KC19" s="65"/>
      <c r="KD19" s="65"/>
      <c r="KE19" s="65"/>
      <c r="KF19" s="65"/>
      <c r="KG19" s="65"/>
      <c r="KH19" s="65"/>
      <c r="KI19" s="65"/>
      <c r="KJ19" s="65"/>
      <c r="KK19" s="65"/>
      <c r="KL19" s="65"/>
      <c r="KM19" s="65"/>
      <c r="KN19" s="65"/>
      <c r="KO19" s="65"/>
      <c r="KP19" s="65"/>
      <c r="KQ19" s="65"/>
      <c r="KR19" s="65"/>
      <c r="KS19" s="65"/>
      <c r="KT19" s="65"/>
      <c r="KU19" s="65"/>
      <c r="KV19" s="65"/>
      <c r="KW19" s="65"/>
      <c r="KX19" s="65"/>
      <c r="KY19" s="65"/>
      <c r="KZ19" s="65"/>
      <c r="LA19" s="65"/>
      <c r="LB19" s="65"/>
      <c r="LC19" s="65"/>
      <c r="LD19" s="65"/>
      <c r="LE19" s="65"/>
      <c r="LF19" s="65"/>
      <c r="LG19" s="65"/>
      <c r="LH19" s="65"/>
      <c r="LI19" s="65"/>
      <c r="LJ19" s="65"/>
      <c r="LK19" s="65"/>
      <c r="LL19" s="65"/>
      <c r="LM19" s="65"/>
      <c r="LN19" s="65"/>
      <c r="LO19" s="65"/>
      <c r="LP19" s="65"/>
      <c r="LQ19" s="65"/>
      <c r="LR19" s="65"/>
      <c r="LS19" s="65"/>
      <c r="LT19" s="65"/>
      <c r="LU19" s="65"/>
      <c r="LV19" s="65"/>
      <c r="LW19" s="65"/>
      <c r="LX19" s="65"/>
      <c r="LY19" s="65"/>
      <c r="LZ19" s="65"/>
      <c r="MA19" s="65"/>
      <c r="MB19" s="65"/>
      <c r="MC19" s="65"/>
      <c r="MD19" s="65"/>
      <c r="ME19" s="65"/>
      <c r="MF19" s="65"/>
      <c r="MG19" s="65"/>
      <c r="MH19" s="65"/>
      <c r="MI19" s="65"/>
      <c r="MJ19" s="65"/>
      <c r="MK19" s="65"/>
      <c r="ML19" s="65"/>
      <c r="MM19" s="65"/>
      <c r="MN19" s="65"/>
      <c r="MO19" s="65"/>
      <c r="MP19" s="65"/>
      <c r="MQ19" s="65"/>
      <c r="MR19" s="65"/>
      <c r="MS19" s="65"/>
      <c r="MT19" s="65"/>
      <c r="MU19" s="65"/>
      <c r="MV19" s="65"/>
      <c r="MW19" s="65"/>
      <c r="MX19" s="65"/>
      <c r="MY19" s="65"/>
      <c r="MZ19" s="65"/>
      <c r="NA19" s="65"/>
      <c r="NB19" s="65"/>
      <c r="NC19" s="65"/>
      <c r="ND19" s="65"/>
      <c r="NE19" s="65"/>
      <c r="NF19" s="65"/>
      <c r="NG19" s="65"/>
      <c r="NH19" s="65"/>
      <c r="NI19" s="65"/>
      <c r="NJ19" s="65"/>
      <c r="NK19" s="65"/>
      <c r="NL19" s="65"/>
      <c r="NM19" s="65"/>
      <c r="NN19" s="65"/>
      <c r="NO19" s="65"/>
      <c r="NP19" s="65"/>
      <c r="NQ19" s="65"/>
      <c r="NR19" s="65"/>
      <c r="NS19" s="65"/>
      <c r="NT19" s="65"/>
      <c r="NU19" s="65"/>
      <c r="NV19" s="65"/>
      <c r="NW19" s="65"/>
      <c r="NX19" s="65"/>
      <c r="NY19" s="65"/>
      <c r="NZ19" s="65"/>
      <c r="OA19" s="65"/>
      <c r="OB19" s="65"/>
      <c r="OC19" s="65"/>
      <c r="OD19" s="65"/>
      <c r="OE19" s="65"/>
      <c r="OF19" s="65"/>
      <c r="OG19" s="65"/>
      <c r="OH19" s="65"/>
      <c r="OI19" s="65"/>
      <c r="OJ19" s="65"/>
      <c r="OK19" s="65"/>
      <c r="OL19" s="65"/>
      <c r="OM19" s="65"/>
      <c r="ON19" s="65"/>
      <c r="OO19" s="65"/>
      <c r="OP19" s="65"/>
      <c r="OQ19" s="65"/>
      <c r="OR19" s="65"/>
      <c r="OS19" s="65"/>
      <c r="OT19" s="65"/>
      <c r="OU19" s="65"/>
      <c r="OV19" s="65"/>
      <c r="OW19" s="65"/>
      <c r="OX19" s="65"/>
      <c r="OY19" s="65"/>
      <c r="OZ19" s="65"/>
      <c r="PA19" s="65"/>
      <c r="PB19" s="65"/>
      <c r="PC19" s="65"/>
      <c r="PD19" s="65"/>
      <c r="PE19" s="65"/>
      <c r="PF19" s="65"/>
      <c r="PG19" s="65"/>
      <c r="PH19" s="65"/>
      <c r="PI19" s="65"/>
      <c r="PJ19" s="65"/>
      <c r="PK19" s="65"/>
      <c r="PL19" s="65"/>
      <c r="PM19" s="65"/>
      <c r="PN19" s="65"/>
      <c r="PO19" s="65"/>
      <c r="PP19" s="65"/>
      <c r="PQ19" s="65"/>
      <c r="PR19" s="65"/>
      <c r="PS19" s="65"/>
      <c r="PT19" s="65"/>
      <c r="PU19" s="65"/>
      <c r="PV19" s="65"/>
      <c r="PW19" s="65"/>
      <c r="PX19" s="65"/>
      <c r="PY19" s="65"/>
      <c r="PZ19" s="65"/>
      <c r="QA19" s="65"/>
      <c r="QB19" s="65"/>
      <c r="QC19" s="65"/>
      <c r="QD19" s="65"/>
      <c r="QE19" s="65"/>
      <c r="QF19" s="65"/>
      <c r="QG19" s="65"/>
      <c r="QH19" s="65"/>
      <c r="QI19" s="65"/>
      <c r="QJ19" s="65"/>
      <c r="QK19" s="65"/>
      <c r="QL19" s="65"/>
      <c r="QM19" s="65"/>
      <c r="QN19" s="65"/>
      <c r="QO19" s="65"/>
      <c r="QP19" s="65"/>
      <c r="QQ19" s="65"/>
      <c r="QR19" s="65"/>
      <c r="QS19" s="65"/>
      <c r="QT19" s="65"/>
      <c r="QU19" s="65"/>
      <c r="QV19" s="65"/>
      <c r="QW19" s="65"/>
      <c r="QX19" s="65"/>
      <c r="QY19" s="65"/>
      <c r="QZ19" s="65"/>
      <c r="RA19" s="65"/>
      <c r="RB19" s="65"/>
      <c r="RC19" s="65"/>
      <c r="RD19" s="65"/>
      <c r="RE19" s="65"/>
      <c r="RF19" s="65"/>
      <c r="RG19" s="65"/>
      <c r="RH19" s="65"/>
      <c r="RI19" s="65"/>
      <c r="RJ19" s="65"/>
      <c r="RK19" s="65"/>
      <c r="RL19" s="65"/>
      <c r="RM19" s="65"/>
      <c r="RN19" s="65"/>
      <c r="RO19" s="65"/>
      <c r="RP19" s="65"/>
      <c r="RQ19" s="65"/>
      <c r="RR19" s="65"/>
      <c r="RS19" s="65"/>
      <c r="RT19" s="65"/>
      <c r="RU19" s="65"/>
      <c r="RV19" s="65"/>
      <c r="RW19" s="65"/>
      <c r="RX19" s="65"/>
      <c r="RY19" s="65"/>
      <c r="RZ19" s="65"/>
      <c r="SA19" s="65"/>
      <c r="SB19" s="65"/>
      <c r="SC19" s="65"/>
      <c r="SD19" s="65"/>
      <c r="SE19" s="65"/>
      <c r="SF19" s="65"/>
      <c r="SG19" s="65"/>
      <c r="SH19" s="65"/>
      <c r="SI19" s="65"/>
      <c r="SJ19" s="65"/>
      <c r="SK19" s="65"/>
      <c r="SL19" s="65"/>
      <c r="SM19" s="65"/>
      <c r="SN19" s="65"/>
      <c r="SO19" s="65"/>
      <c r="SP19" s="65"/>
      <c r="SQ19" s="65"/>
      <c r="SR19" s="65"/>
      <c r="SS19" s="65"/>
      <c r="ST19" s="65"/>
      <c r="SU19" s="65"/>
      <c r="SV19" s="65"/>
      <c r="SW19" s="65"/>
      <c r="SX19" s="65"/>
      <c r="SY19" s="65"/>
      <c r="SZ19" s="65"/>
      <c r="TA19" s="65"/>
      <c r="TB19" s="65"/>
      <c r="TC19" s="65"/>
      <c r="TD19" s="65"/>
      <c r="TE19" s="65"/>
      <c r="TF19" s="65"/>
      <c r="TG19" s="65"/>
      <c r="TH19" s="65"/>
      <c r="TI19" s="65"/>
      <c r="TJ19" s="65"/>
      <c r="TK19" s="65"/>
      <c r="TL19" s="65"/>
      <c r="TM19" s="65"/>
      <c r="TN19" s="65"/>
      <c r="TO19" s="65"/>
      <c r="TP19" s="65"/>
      <c r="TQ19" s="65"/>
      <c r="TR19" s="65"/>
      <c r="TS19" s="65"/>
      <c r="TT19" s="65"/>
      <c r="TU19" s="65"/>
      <c r="TV19" s="65"/>
      <c r="TW19" s="65"/>
      <c r="TX19" s="65"/>
      <c r="TY19" s="65"/>
      <c r="TZ19" s="65"/>
      <c r="UA19" s="65"/>
      <c r="UB19" s="65"/>
      <c r="UC19" s="65"/>
      <c r="UD19" s="65"/>
      <c r="UE19" s="65"/>
      <c r="UF19" s="65"/>
      <c r="UG19" s="65"/>
      <c r="UH19" s="65"/>
      <c r="UI19" s="65"/>
      <c r="UJ19" s="65"/>
      <c r="UK19" s="65"/>
      <c r="UL19" s="65"/>
      <c r="UM19" s="65"/>
      <c r="UN19" s="65"/>
      <c r="UO19" s="65"/>
      <c r="UP19" s="65"/>
      <c r="UQ19" s="65"/>
      <c r="UR19" s="65"/>
      <c r="US19" s="65"/>
      <c r="UT19" s="65"/>
      <c r="UU19" s="65"/>
      <c r="UV19" s="65"/>
      <c r="UW19" s="65"/>
      <c r="UX19" s="65"/>
      <c r="UY19" s="65"/>
      <c r="UZ19" s="65"/>
      <c r="VA19" s="65"/>
      <c r="VB19" s="65"/>
      <c r="VC19" s="65"/>
      <c r="VD19" s="65"/>
      <c r="VE19" s="65"/>
      <c r="VF19" s="65"/>
      <c r="VG19" s="65"/>
      <c r="VH19" s="65"/>
      <c r="VI19" s="65"/>
      <c r="VJ19" s="65"/>
      <c r="VK19" s="65"/>
      <c r="VL19" s="65"/>
      <c r="VM19" s="65"/>
      <c r="VN19" s="65"/>
      <c r="VO19" s="65"/>
      <c r="VP19" s="65"/>
      <c r="VQ19" s="65"/>
      <c r="VR19" s="65"/>
      <c r="VS19" s="65"/>
      <c r="VT19" s="65"/>
      <c r="VU19" s="65"/>
      <c r="VV19" s="65"/>
      <c r="VW19" s="65"/>
      <c r="VX19" s="65"/>
      <c r="VY19" s="65"/>
      <c r="VZ19" s="65"/>
      <c r="WA19" s="65"/>
      <c r="WB19" s="65"/>
      <c r="WC19" s="65"/>
      <c r="WD19" s="65"/>
      <c r="WE19" s="65"/>
      <c r="WF19" s="65"/>
      <c r="WG19" s="65"/>
      <c r="WH19" s="65"/>
      <c r="WI19" s="65"/>
      <c r="WJ19" s="65"/>
      <c r="WK19" s="65"/>
      <c r="WL19" s="65"/>
      <c r="WM19" s="65"/>
      <c r="WN19" s="65"/>
      <c r="WO19" s="65"/>
      <c r="WP19" s="65"/>
      <c r="WQ19" s="65"/>
      <c r="WR19" s="65"/>
      <c r="WS19" s="65"/>
      <c r="WT19" s="65"/>
      <c r="WU19" s="65"/>
      <c r="WV19" s="65"/>
      <c r="WW19" s="65"/>
      <c r="WX19" s="65"/>
      <c r="WY19" s="65"/>
      <c r="WZ19" s="65"/>
      <c r="XA19" s="65"/>
      <c r="XB19" s="65"/>
      <c r="XC19" s="65"/>
      <c r="XD19" s="65"/>
      <c r="XE19" s="65"/>
      <c r="XF19" s="65"/>
      <c r="XG19" s="65"/>
      <c r="XH19" s="65"/>
      <c r="XI19" s="65"/>
      <c r="XJ19" s="65"/>
      <c r="XK19" s="65"/>
      <c r="XL19" s="65"/>
      <c r="XM19" s="65"/>
      <c r="XN19" s="65"/>
      <c r="XO19" s="65"/>
      <c r="XP19" s="65"/>
      <c r="XQ19" s="65"/>
      <c r="XR19" s="65"/>
      <c r="XS19" s="65"/>
      <c r="XT19" s="65"/>
      <c r="XU19" s="65"/>
      <c r="XV19" s="65"/>
      <c r="XW19" s="65"/>
      <c r="XX19" s="65"/>
      <c r="XY19" s="65"/>
      <c r="XZ19" s="65"/>
      <c r="YA19" s="65"/>
      <c r="YB19" s="65"/>
      <c r="YC19" s="65"/>
      <c r="YD19" s="65"/>
      <c r="YE19" s="65"/>
      <c r="YF19" s="65"/>
      <c r="YG19" s="65"/>
      <c r="YH19" s="65"/>
      <c r="YI19" s="65"/>
      <c r="YJ19" s="65"/>
      <c r="YK19" s="65"/>
      <c r="YL19" s="65"/>
      <c r="YM19" s="65"/>
      <c r="YN19" s="65"/>
      <c r="YO19" s="65"/>
      <c r="YP19" s="65"/>
      <c r="YQ19" s="65"/>
      <c r="YR19" s="65"/>
      <c r="YS19" s="65"/>
      <c r="YT19" s="65"/>
      <c r="YU19" s="65"/>
      <c r="YV19" s="65"/>
      <c r="YW19" s="65"/>
      <c r="YX19" s="65"/>
      <c r="YY19" s="65"/>
      <c r="YZ19" s="65"/>
    </row>
    <row r="20" spans="1:676" ht="20.5">
      <c r="A20" s="68"/>
      <c r="B20" s="221" t="str">
        <f>"mittlere Verweildauer"</f>
        <v>mittlere Verweildauer</v>
      </c>
      <c r="C20" s="225">
        <v>5.6</v>
      </c>
      <c r="D20" s="225">
        <v>12</v>
      </c>
      <c r="E20" s="225">
        <v>14</v>
      </c>
      <c r="F20" s="246">
        <f>SUMPRODUCT(C20:E20,C24:E24)/SUM(C24:E24)</f>
        <v>6.296666712447295</v>
      </c>
      <c r="G20" s="256"/>
      <c r="H20" s="223"/>
      <c r="I20" s="221" t="str">
        <f>"mittlere Verweildauer"</f>
        <v>mittlere Verweildauer</v>
      </c>
      <c r="J20" s="225">
        <v>3</v>
      </c>
      <c r="K20" s="225">
        <v>21</v>
      </c>
      <c r="L20" s="257">
        <f>SUMPRODUCT(J20:K20,J24:K24)/SUM(J24:K24)</f>
        <v>6.1048930068954332</v>
      </c>
      <c r="M20" s="254"/>
      <c r="N20" s="64"/>
      <c r="O20" s="117"/>
      <c r="P20" s="81"/>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c r="AV20" s="65"/>
      <c r="AW20" s="65"/>
      <c r="AX20" s="65"/>
      <c r="AY20" s="65"/>
      <c r="AZ20" s="65"/>
      <c r="BA20" s="65"/>
      <c r="BB20" s="65"/>
      <c r="BC20" s="65"/>
      <c r="BD20" s="65"/>
      <c r="BE20" s="65"/>
      <c r="BF20" s="65"/>
      <c r="BG20" s="65"/>
      <c r="BH20" s="65"/>
      <c r="BI20" s="65"/>
      <c r="BJ20" s="65"/>
      <c r="BK20" s="65"/>
      <c r="BL20" s="65"/>
      <c r="BM20" s="65"/>
      <c r="BN20" s="65"/>
      <c r="BO20" s="65"/>
      <c r="BP20" s="65"/>
      <c r="BQ20" s="65"/>
      <c r="BR20" s="65"/>
      <c r="BS20" s="65"/>
      <c r="BT20" s="65"/>
      <c r="BU20" s="65"/>
      <c r="BV20" s="65"/>
      <c r="BW20" s="65"/>
      <c r="BX20" s="65"/>
      <c r="BY20" s="65"/>
      <c r="BZ20" s="65"/>
      <c r="CA20" s="65"/>
      <c r="CB20" s="65"/>
      <c r="CC20" s="65"/>
      <c r="CD20" s="65"/>
      <c r="CE20" s="65"/>
      <c r="CF20" s="65"/>
      <c r="CG20" s="65"/>
      <c r="CH20" s="65"/>
      <c r="CI20" s="65"/>
      <c r="CJ20" s="65"/>
      <c r="CK20" s="65"/>
      <c r="CL20" s="65"/>
      <c r="CM20" s="65"/>
      <c r="CN20" s="65"/>
      <c r="CO20" s="65"/>
      <c r="CP20" s="65"/>
      <c r="CQ20" s="65"/>
      <c r="CR20" s="65"/>
      <c r="CS20" s="65"/>
      <c r="CT20" s="65"/>
      <c r="CU20" s="65"/>
      <c r="CV20" s="65"/>
      <c r="CW20" s="65"/>
      <c r="CX20" s="65"/>
      <c r="CY20" s="65"/>
      <c r="CZ20" s="65"/>
      <c r="DA20" s="65"/>
      <c r="DB20" s="65"/>
      <c r="DC20" s="65"/>
      <c r="DD20" s="65"/>
      <c r="DE20" s="65"/>
      <c r="DF20" s="65"/>
      <c r="DG20" s="65"/>
      <c r="DH20" s="65"/>
      <c r="DI20" s="65"/>
      <c r="DJ20" s="65"/>
      <c r="DK20" s="65"/>
      <c r="DL20" s="65"/>
      <c r="DM20" s="65"/>
      <c r="DN20" s="65"/>
      <c r="DO20" s="65"/>
      <c r="DP20" s="65"/>
      <c r="DQ20" s="65"/>
      <c r="DR20" s="65"/>
      <c r="DS20" s="65"/>
      <c r="DT20" s="65"/>
      <c r="DU20" s="65"/>
      <c r="DV20" s="65"/>
      <c r="DW20" s="65"/>
      <c r="DX20" s="65"/>
      <c r="DY20" s="65"/>
      <c r="DZ20" s="65"/>
      <c r="EA20" s="65"/>
      <c r="EB20" s="65"/>
      <c r="EC20" s="65"/>
      <c r="ED20" s="65"/>
      <c r="EE20" s="65"/>
      <c r="EF20" s="65"/>
      <c r="EG20" s="65"/>
      <c r="EH20" s="65"/>
      <c r="EI20" s="65"/>
      <c r="EJ20" s="65"/>
      <c r="EK20" s="65"/>
      <c r="EL20" s="65"/>
      <c r="EM20" s="65"/>
      <c r="EN20" s="65"/>
      <c r="EO20" s="65"/>
      <c r="EP20" s="65"/>
      <c r="EQ20" s="65"/>
      <c r="ER20" s="65"/>
      <c r="ES20" s="65"/>
      <c r="ET20" s="65"/>
      <c r="EU20" s="65"/>
      <c r="EV20" s="65"/>
      <c r="EW20" s="65"/>
      <c r="EX20" s="65"/>
      <c r="EY20" s="65"/>
      <c r="EZ20" s="65"/>
      <c r="FA20" s="65"/>
      <c r="FB20" s="65"/>
      <c r="FC20" s="65"/>
      <c r="FD20" s="65"/>
      <c r="FE20" s="65"/>
      <c r="FF20" s="65"/>
      <c r="FG20" s="65"/>
      <c r="FH20" s="65"/>
      <c r="FI20" s="65"/>
      <c r="FJ20" s="65"/>
      <c r="FK20" s="65"/>
      <c r="FL20" s="65"/>
      <c r="FM20" s="65"/>
      <c r="FN20" s="65"/>
      <c r="FO20" s="65"/>
      <c r="FP20" s="65"/>
      <c r="FQ20" s="65"/>
      <c r="FR20" s="65"/>
      <c r="FS20" s="65"/>
      <c r="FT20" s="65"/>
      <c r="FU20" s="65"/>
      <c r="FV20" s="65"/>
      <c r="FW20" s="65"/>
      <c r="FX20" s="65"/>
      <c r="FY20" s="65"/>
      <c r="FZ20" s="65"/>
      <c r="GA20" s="65"/>
      <c r="GB20" s="65"/>
      <c r="GC20" s="65"/>
      <c r="GD20" s="65"/>
      <c r="GE20" s="65"/>
      <c r="GF20" s="65"/>
      <c r="GG20" s="65"/>
      <c r="GH20" s="65"/>
      <c r="GI20" s="65"/>
      <c r="GJ20" s="65"/>
      <c r="GK20" s="65"/>
      <c r="GL20" s="65"/>
      <c r="GM20" s="65"/>
      <c r="GN20" s="65"/>
      <c r="GO20" s="65"/>
      <c r="GP20" s="65"/>
      <c r="GQ20" s="65"/>
      <c r="GR20" s="65"/>
      <c r="GS20" s="65"/>
      <c r="GT20" s="65"/>
      <c r="GU20" s="65"/>
      <c r="GV20" s="65"/>
      <c r="GW20" s="65"/>
      <c r="GX20" s="65"/>
      <c r="GY20" s="65"/>
      <c r="GZ20" s="65"/>
      <c r="HA20" s="65"/>
      <c r="HB20" s="65"/>
      <c r="HC20" s="65"/>
      <c r="HD20" s="65"/>
      <c r="HE20" s="65"/>
      <c r="HF20" s="65"/>
      <c r="HG20" s="65"/>
      <c r="HH20" s="65"/>
      <c r="HI20" s="65"/>
      <c r="HJ20" s="65"/>
      <c r="HK20" s="65"/>
      <c r="HL20" s="65"/>
      <c r="HM20" s="65"/>
      <c r="HN20" s="65"/>
      <c r="HO20" s="65"/>
      <c r="HP20" s="65"/>
      <c r="HQ20" s="65"/>
      <c r="HR20" s="65"/>
      <c r="HS20" s="65"/>
      <c r="HT20" s="65"/>
      <c r="HU20" s="65"/>
      <c r="HV20" s="65"/>
      <c r="HW20" s="65"/>
      <c r="HX20" s="65"/>
      <c r="HY20" s="65"/>
      <c r="HZ20" s="65"/>
      <c r="IA20" s="65"/>
      <c r="IB20" s="65"/>
      <c r="IC20" s="65"/>
      <c r="ID20" s="65"/>
      <c r="IE20" s="65"/>
      <c r="IF20" s="65"/>
      <c r="IG20" s="65"/>
      <c r="IH20" s="65"/>
      <c r="II20" s="65"/>
      <c r="IJ20" s="65"/>
      <c r="IK20" s="65"/>
      <c r="IL20" s="65"/>
      <c r="IM20" s="65"/>
      <c r="IN20" s="65"/>
      <c r="IO20" s="65"/>
      <c r="IP20" s="65"/>
      <c r="IQ20" s="65"/>
      <c r="IR20" s="65"/>
      <c r="IS20" s="65"/>
      <c r="IT20" s="65"/>
      <c r="IU20" s="65"/>
      <c r="IV20" s="65"/>
      <c r="IW20" s="65"/>
      <c r="IX20" s="65"/>
      <c r="IY20" s="65"/>
      <c r="IZ20" s="65"/>
      <c r="JA20" s="65"/>
      <c r="JB20" s="65"/>
      <c r="JC20" s="65"/>
      <c r="JD20" s="65"/>
      <c r="JE20" s="65"/>
      <c r="JF20" s="65"/>
      <c r="JG20" s="65"/>
      <c r="JH20" s="65"/>
      <c r="JI20" s="65"/>
      <c r="JJ20" s="65"/>
      <c r="JK20" s="65"/>
      <c r="JL20" s="65"/>
      <c r="JM20" s="65"/>
      <c r="JN20" s="65"/>
      <c r="JO20" s="65"/>
      <c r="JP20" s="65"/>
      <c r="JQ20" s="65"/>
      <c r="JR20" s="65"/>
      <c r="JS20" s="65"/>
      <c r="JT20" s="65"/>
      <c r="JU20" s="65"/>
      <c r="JV20" s="65"/>
      <c r="JW20" s="65"/>
      <c r="JX20" s="65"/>
      <c r="JY20" s="65"/>
      <c r="JZ20" s="65"/>
      <c r="KA20" s="65"/>
      <c r="KB20" s="65"/>
      <c r="KC20" s="65"/>
      <c r="KD20" s="65"/>
      <c r="KE20" s="65"/>
      <c r="KF20" s="65"/>
      <c r="KG20" s="65"/>
      <c r="KH20" s="65"/>
      <c r="KI20" s="65"/>
      <c r="KJ20" s="65"/>
      <c r="KK20" s="65"/>
      <c r="KL20" s="65"/>
      <c r="KM20" s="65"/>
      <c r="KN20" s="65"/>
      <c r="KO20" s="65"/>
      <c r="KP20" s="65"/>
      <c r="KQ20" s="65"/>
      <c r="KR20" s="65"/>
      <c r="KS20" s="65"/>
      <c r="KT20" s="65"/>
      <c r="KU20" s="65"/>
      <c r="KV20" s="65"/>
      <c r="KW20" s="65"/>
      <c r="KX20" s="65"/>
      <c r="KY20" s="65"/>
      <c r="KZ20" s="65"/>
      <c r="LA20" s="65"/>
      <c r="LB20" s="65"/>
      <c r="LC20" s="65"/>
      <c r="LD20" s="65"/>
      <c r="LE20" s="65"/>
      <c r="LF20" s="65"/>
      <c r="LG20" s="65"/>
      <c r="LH20" s="65"/>
      <c r="LI20" s="65"/>
      <c r="LJ20" s="65"/>
      <c r="LK20" s="65"/>
      <c r="LL20" s="65"/>
      <c r="LM20" s="65"/>
      <c r="LN20" s="65"/>
      <c r="LO20" s="65"/>
      <c r="LP20" s="65"/>
      <c r="LQ20" s="65"/>
      <c r="LR20" s="65"/>
      <c r="LS20" s="65"/>
      <c r="LT20" s="65"/>
      <c r="LU20" s="65"/>
      <c r="LV20" s="65"/>
      <c r="LW20" s="65"/>
      <c r="LX20" s="65"/>
      <c r="LY20" s="65"/>
      <c r="LZ20" s="65"/>
      <c r="MA20" s="65"/>
      <c r="MB20" s="65"/>
      <c r="MC20" s="65"/>
      <c r="MD20" s="65"/>
      <c r="ME20" s="65"/>
      <c r="MF20" s="65"/>
      <c r="MG20" s="65"/>
      <c r="MH20" s="65"/>
      <c r="MI20" s="65"/>
      <c r="MJ20" s="65"/>
      <c r="MK20" s="65"/>
      <c r="ML20" s="65"/>
      <c r="MM20" s="65"/>
      <c r="MN20" s="65"/>
      <c r="MO20" s="65"/>
      <c r="MP20" s="65"/>
      <c r="MQ20" s="65"/>
      <c r="MR20" s="65"/>
      <c r="MS20" s="65"/>
      <c r="MT20" s="65"/>
      <c r="MU20" s="65"/>
      <c r="MV20" s="65"/>
      <c r="MW20" s="65"/>
      <c r="MX20" s="65"/>
      <c r="MY20" s="65"/>
      <c r="MZ20" s="65"/>
      <c r="NA20" s="65"/>
      <c r="NB20" s="65"/>
      <c r="NC20" s="65"/>
      <c r="ND20" s="65"/>
      <c r="NE20" s="65"/>
      <c r="NF20" s="65"/>
      <c r="NG20" s="65"/>
      <c r="NH20" s="65"/>
      <c r="NI20" s="65"/>
      <c r="NJ20" s="65"/>
      <c r="NK20" s="65"/>
      <c r="NL20" s="65"/>
      <c r="NM20" s="65"/>
      <c r="NN20" s="65"/>
      <c r="NO20" s="65"/>
      <c r="NP20" s="65"/>
      <c r="NQ20" s="65"/>
      <c r="NR20" s="65"/>
      <c r="NS20" s="65"/>
      <c r="NT20" s="65"/>
      <c r="NU20" s="65"/>
      <c r="NV20" s="65"/>
      <c r="NW20" s="65"/>
      <c r="NX20" s="65"/>
      <c r="NY20" s="65"/>
      <c r="NZ20" s="65"/>
      <c r="OA20" s="65"/>
      <c r="OB20" s="65"/>
      <c r="OC20" s="65"/>
      <c r="OD20" s="65"/>
      <c r="OE20" s="65"/>
      <c r="OF20" s="65"/>
      <c r="OG20" s="65"/>
      <c r="OH20" s="65"/>
      <c r="OI20" s="65"/>
      <c r="OJ20" s="65"/>
      <c r="OK20" s="65"/>
      <c r="OL20" s="65"/>
      <c r="OM20" s="65"/>
      <c r="ON20" s="65"/>
      <c r="OO20" s="65"/>
      <c r="OP20" s="65"/>
      <c r="OQ20" s="65"/>
      <c r="OR20" s="65"/>
      <c r="OS20" s="65"/>
      <c r="OT20" s="65"/>
      <c r="OU20" s="65"/>
      <c r="OV20" s="65"/>
      <c r="OW20" s="65"/>
      <c r="OX20" s="65"/>
      <c r="OY20" s="65"/>
      <c r="OZ20" s="65"/>
      <c r="PA20" s="65"/>
      <c r="PB20" s="65"/>
      <c r="PC20" s="65"/>
      <c r="PD20" s="65"/>
      <c r="PE20" s="65"/>
      <c r="PF20" s="65"/>
      <c r="PG20" s="65"/>
      <c r="PH20" s="65"/>
      <c r="PI20" s="65"/>
      <c r="PJ20" s="65"/>
      <c r="PK20" s="65"/>
      <c r="PL20" s="65"/>
      <c r="PM20" s="65"/>
      <c r="PN20" s="65"/>
      <c r="PO20" s="65"/>
      <c r="PP20" s="65"/>
      <c r="PQ20" s="65"/>
      <c r="PR20" s="65"/>
      <c r="PS20" s="65"/>
      <c r="PT20" s="65"/>
      <c r="PU20" s="65"/>
      <c r="PV20" s="65"/>
      <c r="PW20" s="65"/>
      <c r="PX20" s="65"/>
      <c r="PY20" s="65"/>
      <c r="PZ20" s="65"/>
      <c r="QA20" s="65"/>
      <c r="QB20" s="65"/>
      <c r="QC20" s="65"/>
      <c r="QD20" s="65"/>
      <c r="QE20" s="65"/>
      <c r="QF20" s="65"/>
      <c r="QG20" s="65"/>
      <c r="QH20" s="65"/>
      <c r="QI20" s="65"/>
      <c r="QJ20" s="65"/>
      <c r="QK20" s="65"/>
      <c r="QL20" s="65"/>
      <c r="QM20" s="65"/>
      <c r="QN20" s="65"/>
      <c r="QO20" s="65"/>
      <c r="QP20" s="65"/>
      <c r="QQ20" s="65"/>
      <c r="QR20" s="65"/>
      <c r="QS20" s="65"/>
      <c r="QT20" s="65"/>
      <c r="QU20" s="65"/>
      <c r="QV20" s="65"/>
      <c r="QW20" s="65"/>
      <c r="QX20" s="65"/>
      <c r="QY20" s="65"/>
      <c r="QZ20" s="65"/>
      <c r="RA20" s="65"/>
      <c r="RB20" s="65"/>
      <c r="RC20" s="65"/>
      <c r="RD20" s="65"/>
      <c r="RE20" s="65"/>
      <c r="RF20" s="65"/>
      <c r="RG20" s="65"/>
      <c r="RH20" s="65"/>
      <c r="RI20" s="65"/>
      <c r="RJ20" s="65"/>
      <c r="RK20" s="65"/>
      <c r="RL20" s="65"/>
      <c r="RM20" s="65"/>
      <c r="RN20" s="65"/>
      <c r="RO20" s="65"/>
      <c r="RP20" s="65"/>
      <c r="RQ20" s="65"/>
      <c r="RR20" s="65"/>
      <c r="RS20" s="65"/>
      <c r="RT20" s="65"/>
      <c r="RU20" s="65"/>
      <c r="RV20" s="65"/>
      <c r="RW20" s="65"/>
      <c r="RX20" s="65"/>
      <c r="RY20" s="65"/>
      <c r="RZ20" s="65"/>
      <c r="SA20" s="65"/>
      <c r="SB20" s="65"/>
      <c r="SC20" s="65"/>
      <c r="SD20" s="65"/>
      <c r="SE20" s="65"/>
      <c r="SF20" s="65"/>
      <c r="SG20" s="65"/>
      <c r="SH20" s="65"/>
      <c r="SI20" s="65"/>
      <c r="SJ20" s="65"/>
      <c r="SK20" s="65"/>
      <c r="SL20" s="65"/>
      <c r="SM20" s="65"/>
      <c r="SN20" s="65"/>
      <c r="SO20" s="65"/>
      <c r="SP20" s="65"/>
      <c r="SQ20" s="65"/>
      <c r="SR20" s="65"/>
      <c r="SS20" s="65"/>
      <c r="ST20" s="65"/>
      <c r="SU20" s="65"/>
      <c r="SV20" s="65"/>
      <c r="SW20" s="65"/>
      <c r="SX20" s="65"/>
      <c r="SY20" s="65"/>
      <c r="SZ20" s="65"/>
      <c r="TA20" s="65"/>
      <c r="TB20" s="65"/>
      <c r="TC20" s="65"/>
      <c r="TD20" s="65"/>
      <c r="TE20" s="65"/>
      <c r="TF20" s="65"/>
      <c r="TG20" s="65"/>
      <c r="TH20" s="65"/>
      <c r="TI20" s="65"/>
      <c r="TJ20" s="65"/>
      <c r="TK20" s="65"/>
      <c r="TL20" s="65"/>
      <c r="TM20" s="65"/>
      <c r="TN20" s="65"/>
      <c r="TO20" s="65"/>
      <c r="TP20" s="65"/>
      <c r="TQ20" s="65"/>
      <c r="TR20" s="65"/>
      <c r="TS20" s="65"/>
      <c r="TT20" s="65"/>
      <c r="TU20" s="65"/>
      <c r="TV20" s="65"/>
      <c r="TW20" s="65"/>
      <c r="TX20" s="65"/>
      <c r="TY20" s="65"/>
      <c r="TZ20" s="65"/>
      <c r="UA20" s="65"/>
      <c r="UB20" s="65"/>
      <c r="UC20" s="65"/>
      <c r="UD20" s="65"/>
      <c r="UE20" s="65"/>
      <c r="UF20" s="65"/>
      <c r="UG20" s="65"/>
      <c r="UH20" s="65"/>
      <c r="UI20" s="65"/>
      <c r="UJ20" s="65"/>
      <c r="UK20" s="65"/>
      <c r="UL20" s="65"/>
      <c r="UM20" s="65"/>
      <c r="UN20" s="65"/>
      <c r="UO20" s="65"/>
      <c r="UP20" s="65"/>
      <c r="UQ20" s="65"/>
      <c r="UR20" s="65"/>
      <c r="US20" s="65"/>
      <c r="UT20" s="65"/>
      <c r="UU20" s="65"/>
      <c r="UV20" s="65"/>
      <c r="UW20" s="65"/>
      <c r="UX20" s="65"/>
      <c r="UY20" s="65"/>
      <c r="UZ20" s="65"/>
      <c r="VA20" s="65"/>
      <c r="VB20" s="65"/>
      <c r="VC20" s="65"/>
      <c r="VD20" s="65"/>
      <c r="VE20" s="65"/>
      <c r="VF20" s="65"/>
      <c r="VG20" s="65"/>
      <c r="VH20" s="65"/>
      <c r="VI20" s="65"/>
      <c r="VJ20" s="65"/>
      <c r="VK20" s="65"/>
      <c r="VL20" s="65"/>
      <c r="VM20" s="65"/>
      <c r="VN20" s="65"/>
      <c r="VO20" s="65"/>
      <c r="VP20" s="65"/>
      <c r="VQ20" s="65"/>
      <c r="VR20" s="65"/>
      <c r="VS20" s="65"/>
      <c r="VT20" s="65"/>
      <c r="VU20" s="65"/>
      <c r="VV20" s="65"/>
      <c r="VW20" s="65"/>
      <c r="VX20" s="65"/>
      <c r="VY20" s="65"/>
      <c r="VZ20" s="65"/>
      <c r="WA20" s="65"/>
      <c r="WB20" s="65"/>
      <c r="WC20" s="65"/>
      <c r="WD20" s="65"/>
      <c r="WE20" s="65"/>
      <c r="WF20" s="65"/>
      <c r="WG20" s="65"/>
      <c r="WH20" s="65"/>
      <c r="WI20" s="65"/>
      <c r="WJ20" s="65"/>
      <c r="WK20" s="65"/>
      <c r="WL20" s="65"/>
      <c r="WM20" s="65"/>
      <c r="WN20" s="65"/>
      <c r="WO20" s="65"/>
      <c r="WP20" s="65"/>
      <c r="WQ20" s="65"/>
      <c r="WR20" s="65"/>
      <c r="WS20" s="65"/>
      <c r="WT20" s="65"/>
      <c r="WU20" s="65"/>
      <c r="WV20" s="65"/>
      <c r="WW20" s="65"/>
      <c r="WX20" s="65"/>
      <c r="WY20" s="65"/>
      <c r="WZ20" s="65"/>
      <c r="XA20" s="65"/>
      <c r="XB20" s="65"/>
      <c r="XC20" s="65"/>
      <c r="XD20" s="65"/>
      <c r="XE20" s="65"/>
      <c r="XF20" s="65"/>
      <c r="XG20" s="65"/>
      <c r="XH20" s="65"/>
      <c r="XI20" s="65"/>
      <c r="XJ20" s="65"/>
      <c r="XK20" s="65"/>
      <c r="XL20" s="65"/>
      <c r="XM20" s="65"/>
      <c r="XN20" s="65"/>
      <c r="XO20" s="65"/>
      <c r="XP20" s="65"/>
      <c r="XQ20" s="65"/>
      <c r="XR20" s="65"/>
      <c r="XS20" s="65"/>
      <c r="XT20" s="65"/>
      <c r="XU20" s="65"/>
      <c r="XV20" s="65"/>
      <c r="XW20" s="65"/>
      <c r="XX20" s="65"/>
      <c r="XY20" s="65"/>
      <c r="XZ20" s="65"/>
      <c r="YA20" s="65"/>
      <c r="YB20" s="65"/>
      <c r="YC20" s="65"/>
      <c r="YD20" s="65"/>
      <c r="YE20" s="65"/>
      <c r="YF20" s="65"/>
      <c r="YG20" s="65"/>
      <c r="YH20" s="65"/>
      <c r="YI20" s="65"/>
      <c r="YJ20" s="65"/>
      <c r="YK20" s="65"/>
      <c r="YL20" s="65"/>
      <c r="YM20" s="65"/>
      <c r="YN20" s="65"/>
      <c r="YO20" s="65"/>
      <c r="YP20" s="65"/>
      <c r="YQ20" s="65"/>
      <c r="YR20" s="65"/>
      <c r="YS20" s="65"/>
      <c r="YT20" s="65"/>
      <c r="YU20" s="65"/>
      <c r="YV20" s="65"/>
      <c r="YW20" s="65"/>
      <c r="YX20" s="65"/>
      <c r="YY20" s="65"/>
      <c r="YZ20" s="65"/>
    </row>
    <row r="21" spans="1:676" ht="20.5">
      <c r="A21" s="68"/>
      <c r="B21" s="218" t="s">
        <v>40</v>
      </c>
      <c r="C21" s="226">
        <f ca="1">C17*C20</f>
        <v>0.73297602230213099</v>
      </c>
      <c r="D21" s="226">
        <f ca="1">D17*D20</f>
        <v>129.66003174888564</v>
      </c>
      <c r="E21" s="226">
        <f ca="1">E17*E20</f>
        <v>1254.5030792924283</v>
      </c>
      <c r="F21" s="223"/>
      <c r="G21" s="223"/>
      <c r="H21" s="223"/>
      <c r="I21" s="218" t="s">
        <v>40</v>
      </c>
      <c r="J21" s="226">
        <f ca="1">J17*J20</f>
        <v>8.9286977186107066</v>
      </c>
      <c r="K21" s="226">
        <f ca="1">K17*K20</f>
        <v>2179.0994179664203</v>
      </c>
      <c r="L21" s="223"/>
      <c r="M21" s="254"/>
      <c r="N21" s="64"/>
      <c r="O21" s="117"/>
      <c r="Q21" s="65"/>
      <c r="R21" s="65"/>
      <c r="S21" s="65"/>
      <c r="T21" s="65"/>
      <c r="U21" s="65"/>
      <c r="V21" s="65"/>
      <c r="W21" s="65"/>
      <c r="X21" s="65"/>
      <c r="Y21" s="65"/>
      <c r="Z21" s="65"/>
      <c r="AA21" s="65"/>
      <c r="AB21" s="65"/>
      <c r="AC21" s="65"/>
      <c r="AD21" s="65"/>
      <c r="AE21" s="65"/>
      <c r="AF21" s="65"/>
      <c r="AG21" s="65"/>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c r="CF21" s="65"/>
      <c r="CG21" s="65"/>
      <c r="CH21" s="65"/>
      <c r="CI21" s="65"/>
      <c r="CJ21" s="65"/>
      <c r="CK21" s="65"/>
      <c r="CL21" s="65"/>
      <c r="CM21" s="65"/>
      <c r="CN21" s="65"/>
      <c r="CO21" s="65"/>
      <c r="CP21" s="65"/>
      <c r="CQ21" s="65"/>
      <c r="CR21" s="65"/>
      <c r="CS21" s="65"/>
      <c r="CT21" s="65"/>
      <c r="CU21" s="65"/>
      <c r="CV21" s="65"/>
      <c r="CW21" s="65"/>
      <c r="CX21" s="65"/>
      <c r="CY21" s="65"/>
      <c r="CZ21" s="65"/>
      <c r="DA21" s="65"/>
      <c r="DB21" s="65"/>
      <c r="DC21" s="65"/>
      <c r="DD21" s="65"/>
      <c r="DE21" s="65"/>
      <c r="DF21" s="65"/>
      <c r="DG21" s="65"/>
      <c r="DH21" s="65"/>
      <c r="DI21" s="65"/>
      <c r="DJ21" s="65"/>
      <c r="DK21" s="65"/>
      <c r="DL21" s="65"/>
      <c r="DM21" s="65"/>
      <c r="DN21" s="65"/>
      <c r="DO21" s="65"/>
      <c r="DP21" s="65"/>
      <c r="DQ21" s="65"/>
      <c r="DR21" s="65"/>
      <c r="DS21" s="65"/>
      <c r="DT21" s="65"/>
      <c r="DU21" s="65"/>
      <c r="DV21" s="65"/>
      <c r="DW21" s="65"/>
      <c r="DX21" s="65"/>
      <c r="DY21" s="65"/>
      <c r="DZ21" s="65"/>
      <c r="EA21" s="65"/>
      <c r="EB21" s="65"/>
      <c r="EC21" s="65"/>
      <c r="ED21" s="65"/>
      <c r="EE21" s="65"/>
      <c r="EF21" s="65"/>
      <c r="EG21" s="65"/>
      <c r="EH21" s="65"/>
      <c r="EI21" s="65"/>
      <c r="EJ21" s="65"/>
      <c r="EK21" s="65"/>
      <c r="EL21" s="65"/>
      <c r="EM21" s="65"/>
      <c r="EN21" s="65"/>
      <c r="EO21" s="65"/>
      <c r="EP21" s="65"/>
      <c r="EQ21" s="65"/>
      <c r="ER21" s="65"/>
      <c r="ES21" s="65"/>
      <c r="ET21" s="65"/>
      <c r="EU21" s="65"/>
      <c r="EV21" s="65"/>
      <c r="EW21" s="65"/>
      <c r="EX21" s="65"/>
      <c r="EY21" s="65"/>
      <c r="EZ21" s="65"/>
      <c r="FA21" s="65"/>
      <c r="FB21" s="65"/>
      <c r="FC21" s="65"/>
      <c r="FD21" s="65"/>
      <c r="FE21" s="65"/>
      <c r="FF21" s="65"/>
      <c r="FG21" s="65"/>
      <c r="FH21" s="65"/>
      <c r="FI21" s="65"/>
      <c r="FJ21" s="65"/>
      <c r="FK21" s="65"/>
      <c r="FL21" s="65"/>
      <c r="FM21" s="65"/>
      <c r="FN21" s="65"/>
      <c r="FO21" s="65"/>
      <c r="FP21" s="65"/>
      <c r="FQ21" s="65"/>
      <c r="FR21" s="65"/>
      <c r="FS21" s="65"/>
      <c r="FT21" s="65"/>
      <c r="FU21" s="65"/>
      <c r="FV21" s="65"/>
      <c r="FW21" s="65"/>
      <c r="FX21" s="65"/>
      <c r="FY21" s="65"/>
      <c r="FZ21" s="65"/>
      <c r="GA21" s="65"/>
      <c r="GB21" s="65"/>
      <c r="GC21" s="65"/>
      <c r="GD21" s="65"/>
      <c r="GE21" s="65"/>
      <c r="GF21" s="65"/>
      <c r="GG21" s="65"/>
      <c r="GH21" s="65"/>
      <c r="GI21" s="65"/>
      <c r="GJ21" s="65"/>
      <c r="GK21" s="65"/>
      <c r="GL21" s="65"/>
      <c r="GM21" s="65"/>
      <c r="GN21" s="65"/>
      <c r="GO21" s="65"/>
      <c r="GP21" s="65"/>
      <c r="GQ21" s="65"/>
      <c r="GR21" s="65"/>
      <c r="GS21" s="65"/>
      <c r="GT21" s="65"/>
      <c r="GU21" s="65"/>
      <c r="GV21" s="65"/>
      <c r="GW21" s="65"/>
      <c r="GX21" s="65"/>
      <c r="GY21" s="65"/>
      <c r="GZ21" s="65"/>
      <c r="HA21" s="65"/>
      <c r="HB21" s="65"/>
      <c r="HC21" s="65"/>
      <c r="HD21" s="65"/>
      <c r="HE21" s="65"/>
      <c r="HF21" s="65"/>
      <c r="HG21" s="65"/>
      <c r="HH21" s="65"/>
      <c r="HI21" s="65"/>
      <c r="HJ21" s="65"/>
      <c r="HK21" s="65"/>
      <c r="HL21" s="65"/>
      <c r="HM21" s="65"/>
      <c r="HN21" s="65"/>
      <c r="HO21" s="65"/>
      <c r="HP21" s="65"/>
      <c r="HQ21" s="65"/>
      <c r="HR21" s="65"/>
      <c r="HS21" s="65"/>
      <c r="HT21" s="65"/>
      <c r="HU21" s="65"/>
      <c r="HV21" s="65"/>
      <c r="HW21" s="65"/>
      <c r="HX21" s="65"/>
      <c r="HY21" s="65"/>
      <c r="HZ21" s="65"/>
      <c r="IA21" s="65"/>
      <c r="IB21" s="65"/>
      <c r="IC21" s="65"/>
      <c r="ID21" s="65"/>
      <c r="IE21" s="65"/>
      <c r="IF21" s="65"/>
      <c r="IG21" s="65"/>
      <c r="IH21" s="65"/>
      <c r="II21" s="65"/>
      <c r="IJ21" s="65"/>
      <c r="IK21" s="65"/>
      <c r="IL21" s="65"/>
      <c r="IM21" s="65"/>
      <c r="IN21" s="65"/>
      <c r="IO21" s="65"/>
      <c r="IP21" s="65"/>
      <c r="IQ21" s="65"/>
      <c r="IR21" s="65"/>
      <c r="IS21" s="65"/>
      <c r="IT21" s="65"/>
      <c r="IU21" s="65"/>
      <c r="IV21" s="65"/>
      <c r="IW21" s="65"/>
      <c r="IX21" s="65"/>
      <c r="IY21" s="65"/>
      <c r="IZ21" s="65"/>
      <c r="JA21" s="65"/>
      <c r="JB21" s="65"/>
      <c r="JC21" s="65"/>
      <c r="JD21" s="65"/>
      <c r="JE21" s="65"/>
      <c r="JF21" s="65"/>
      <c r="JG21" s="65"/>
      <c r="JH21" s="65"/>
      <c r="JI21" s="65"/>
      <c r="JJ21" s="65"/>
      <c r="JK21" s="65"/>
      <c r="JL21" s="65"/>
      <c r="JM21" s="65"/>
      <c r="JN21" s="65"/>
      <c r="JO21" s="65"/>
      <c r="JP21" s="65"/>
      <c r="JQ21" s="65"/>
      <c r="JR21" s="65"/>
      <c r="JS21" s="65"/>
      <c r="JT21" s="65"/>
      <c r="JU21" s="65"/>
      <c r="JV21" s="65"/>
      <c r="JW21" s="65"/>
      <c r="JX21" s="65"/>
      <c r="JY21" s="65"/>
      <c r="JZ21" s="65"/>
      <c r="KA21" s="65"/>
      <c r="KB21" s="65"/>
      <c r="KC21" s="65"/>
      <c r="KD21" s="65"/>
      <c r="KE21" s="65"/>
      <c r="KF21" s="65"/>
      <c r="KG21" s="65"/>
      <c r="KH21" s="65"/>
      <c r="KI21" s="65"/>
      <c r="KJ21" s="65"/>
      <c r="KK21" s="65"/>
      <c r="KL21" s="65"/>
      <c r="KM21" s="65"/>
      <c r="KN21" s="65"/>
      <c r="KO21" s="65"/>
      <c r="KP21" s="65"/>
      <c r="KQ21" s="65"/>
      <c r="KR21" s="65"/>
      <c r="KS21" s="65"/>
      <c r="KT21" s="65"/>
      <c r="KU21" s="65"/>
      <c r="KV21" s="65"/>
      <c r="KW21" s="65"/>
      <c r="KX21" s="65"/>
      <c r="KY21" s="65"/>
      <c r="KZ21" s="65"/>
      <c r="LA21" s="65"/>
      <c r="LB21" s="65"/>
      <c r="LC21" s="65"/>
      <c r="LD21" s="65"/>
      <c r="LE21" s="65"/>
      <c r="LF21" s="65"/>
      <c r="LG21" s="65"/>
      <c r="LH21" s="65"/>
      <c r="LI21" s="65"/>
      <c r="LJ21" s="65"/>
      <c r="LK21" s="65"/>
      <c r="LL21" s="65"/>
      <c r="LM21" s="65"/>
      <c r="LN21" s="65"/>
      <c r="LO21" s="65"/>
      <c r="LP21" s="65"/>
      <c r="LQ21" s="65"/>
      <c r="LR21" s="65"/>
      <c r="LS21" s="65"/>
      <c r="LT21" s="65"/>
      <c r="LU21" s="65"/>
      <c r="LV21" s="65"/>
      <c r="LW21" s="65"/>
      <c r="LX21" s="65"/>
      <c r="LY21" s="65"/>
      <c r="LZ21" s="65"/>
      <c r="MA21" s="65"/>
      <c r="MB21" s="65"/>
      <c r="MC21" s="65"/>
      <c r="MD21" s="65"/>
      <c r="ME21" s="65"/>
      <c r="MF21" s="65"/>
      <c r="MG21" s="65"/>
      <c r="MH21" s="65"/>
      <c r="MI21" s="65"/>
      <c r="MJ21" s="65"/>
      <c r="MK21" s="65"/>
      <c r="ML21" s="65"/>
      <c r="MM21" s="65"/>
      <c r="MN21" s="65"/>
      <c r="MO21" s="65"/>
      <c r="MP21" s="65"/>
      <c r="MQ21" s="65"/>
      <c r="MR21" s="65"/>
      <c r="MS21" s="65"/>
      <c r="MT21" s="65"/>
      <c r="MU21" s="65"/>
      <c r="MV21" s="65"/>
      <c r="MW21" s="65"/>
      <c r="MX21" s="65"/>
      <c r="MY21" s="65"/>
      <c r="MZ21" s="65"/>
      <c r="NA21" s="65"/>
      <c r="NB21" s="65"/>
      <c r="NC21" s="65"/>
      <c r="ND21" s="65"/>
      <c r="NE21" s="65"/>
      <c r="NF21" s="65"/>
      <c r="NG21" s="65"/>
      <c r="NH21" s="65"/>
      <c r="NI21" s="65"/>
      <c r="NJ21" s="65"/>
      <c r="NK21" s="65"/>
      <c r="NL21" s="65"/>
      <c r="NM21" s="65"/>
      <c r="NN21" s="65"/>
      <c r="NO21" s="65"/>
      <c r="NP21" s="65"/>
      <c r="NQ21" s="65"/>
      <c r="NR21" s="65"/>
      <c r="NS21" s="65"/>
      <c r="NT21" s="65"/>
      <c r="NU21" s="65"/>
      <c r="NV21" s="65"/>
      <c r="NW21" s="65"/>
      <c r="NX21" s="65"/>
      <c r="NY21" s="65"/>
      <c r="NZ21" s="65"/>
      <c r="OA21" s="65"/>
      <c r="OB21" s="65"/>
      <c r="OC21" s="65"/>
      <c r="OD21" s="65"/>
      <c r="OE21" s="65"/>
      <c r="OF21" s="65"/>
      <c r="OG21" s="65"/>
      <c r="OH21" s="65"/>
      <c r="OI21" s="65"/>
      <c r="OJ21" s="65"/>
      <c r="OK21" s="65"/>
      <c r="OL21" s="65"/>
      <c r="OM21" s="65"/>
      <c r="ON21" s="65"/>
      <c r="OO21" s="65"/>
      <c r="OP21" s="65"/>
      <c r="OQ21" s="65"/>
      <c r="OR21" s="65"/>
      <c r="OS21" s="65"/>
      <c r="OT21" s="65"/>
      <c r="OU21" s="65"/>
      <c r="OV21" s="65"/>
      <c r="OW21" s="65"/>
      <c r="OX21" s="65"/>
      <c r="OY21" s="65"/>
      <c r="OZ21" s="65"/>
      <c r="PA21" s="65"/>
      <c r="PB21" s="65"/>
      <c r="PC21" s="65"/>
      <c r="PD21" s="65"/>
      <c r="PE21" s="65"/>
      <c r="PF21" s="65"/>
      <c r="PG21" s="65"/>
      <c r="PH21" s="65"/>
      <c r="PI21" s="65"/>
      <c r="PJ21" s="65"/>
      <c r="PK21" s="65"/>
      <c r="PL21" s="65"/>
      <c r="PM21" s="65"/>
      <c r="PN21" s="65"/>
      <c r="PO21" s="65"/>
      <c r="PP21" s="65"/>
      <c r="PQ21" s="65"/>
      <c r="PR21" s="65"/>
      <c r="PS21" s="65"/>
      <c r="PT21" s="65"/>
      <c r="PU21" s="65"/>
      <c r="PV21" s="65"/>
      <c r="PW21" s="65"/>
      <c r="PX21" s="65"/>
      <c r="PY21" s="65"/>
      <c r="PZ21" s="65"/>
      <c r="QA21" s="65"/>
      <c r="QB21" s="65"/>
      <c r="QC21" s="65"/>
      <c r="QD21" s="65"/>
      <c r="QE21" s="65"/>
      <c r="QF21" s="65"/>
      <c r="QG21" s="65"/>
      <c r="QH21" s="65"/>
      <c r="QI21" s="65"/>
      <c r="QJ21" s="65"/>
      <c r="QK21" s="65"/>
      <c r="QL21" s="65"/>
      <c r="QM21" s="65"/>
      <c r="QN21" s="65"/>
      <c r="QO21" s="65"/>
      <c r="QP21" s="65"/>
      <c r="QQ21" s="65"/>
      <c r="QR21" s="65"/>
      <c r="QS21" s="65"/>
      <c r="QT21" s="65"/>
      <c r="QU21" s="65"/>
      <c r="QV21" s="65"/>
      <c r="QW21" s="65"/>
      <c r="QX21" s="65"/>
      <c r="QY21" s="65"/>
      <c r="QZ21" s="65"/>
      <c r="RA21" s="65"/>
      <c r="RB21" s="65"/>
      <c r="RC21" s="65"/>
      <c r="RD21" s="65"/>
      <c r="RE21" s="65"/>
      <c r="RF21" s="65"/>
      <c r="RG21" s="65"/>
      <c r="RH21" s="65"/>
      <c r="RI21" s="65"/>
      <c r="RJ21" s="65"/>
      <c r="RK21" s="65"/>
      <c r="RL21" s="65"/>
      <c r="RM21" s="65"/>
      <c r="RN21" s="65"/>
      <c r="RO21" s="65"/>
      <c r="RP21" s="65"/>
      <c r="RQ21" s="65"/>
      <c r="RR21" s="65"/>
      <c r="RS21" s="65"/>
      <c r="RT21" s="65"/>
      <c r="RU21" s="65"/>
      <c r="RV21" s="65"/>
      <c r="RW21" s="65"/>
      <c r="RX21" s="65"/>
      <c r="RY21" s="65"/>
      <c r="RZ21" s="65"/>
      <c r="SA21" s="65"/>
      <c r="SB21" s="65"/>
      <c r="SC21" s="65"/>
      <c r="SD21" s="65"/>
      <c r="SE21" s="65"/>
      <c r="SF21" s="65"/>
      <c r="SG21" s="65"/>
      <c r="SH21" s="65"/>
      <c r="SI21" s="65"/>
      <c r="SJ21" s="65"/>
      <c r="SK21" s="65"/>
      <c r="SL21" s="65"/>
      <c r="SM21" s="65"/>
      <c r="SN21" s="65"/>
      <c r="SO21" s="65"/>
      <c r="SP21" s="65"/>
      <c r="SQ21" s="65"/>
      <c r="SR21" s="65"/>
      <c r="SS21" s="65"/>
      <c r="ST21" s="65"/>
      <c r="SU21" s="65"/>
      <c r="SV21" s="65"/>
      <c r="SW21" s="65"/>
      <c r="SX21" s="65"/>
      <c r="SY21" s="65"/>
      <c r="SZ21" s="65"/>
      <c r="TA21" s="65"/>
      <c r="TB21" s="65"/>
      <c r="TC21" s="65"/>
      <c r="TD21" s="65"/>
      <c r="TE21" s="65"/>
      <c r="TF21" s="65"/>
      <c r="TG21" s="65"/>
      <c r="TH21" s="65"/>
      <c r="TI21" s="65"/>
      <c r="TJ21" s="65"/>
      <c r="TK21" s="65"/>
      <c r="TL21" s="65"/>
      <c r="TM21" s="65"/>
      <c r="TN21" s="65"/>
      <c r="TO21" s="65"/>
      <c r="TP21" s="65"/>
      <c r="TQ21" s="65"/>
      <c r="TR21" s="65"/>
      <c r="TS21" s="65"/>
      <c r="TT21" s="65"/>
      <c r="TU21" s="65"/>
      <c r="TV21" s="65"/>
      <c r="TW21" s="65"/>
      <c r="TX21" s="65"/>
      <c r="TY21" s="65"/>
      <c r="TZ21" s="65"/>
      <c r="UA21" s="65"/>
      <c r="UB21" s="65"/>
      <c r="UC21" s="65"/>
      <c r="UD21" s="65"/>
      <c r="UE21" s="65"/>
      <c r="UF21" s="65"/>
      <c r="UG21" s="65"/>
      <c r="UH21" s="65"/>
      <c r="UI21" s="65"/>
      <c r="UJ21" s="65"/>
      <c r="UK21" s="65"/>
      <c r="UL21" s="65"/>
      <c r="UM21" s="65"/>
      <c r="UN21" s="65"/>
      <c r="UO21" s="65"/>
      <c r="UP21" s="65"/>
      <c r="UQ21" s="65"/>
      <c r="UR21" s="65"/>
      <c r="US21" s="65"/>
      <c r="UT21" s="65"/>
      <c r="UU21" s="65"/>
      <c r="UV21" s="65"/>
      <c r="UW21" s="65"/>
      <c r="UX21" s="65"/>
      <c r="UY21" s="65"/>
      <c r="UZ21" s="65"/>
      <c r="VA21" s="65"/>
      <c r="VB21" s="65"/>
      <c r="VC21" s="65"/>
      <c r="VD21" s="65"/>
      <c r="VE21" s="65"/>
      <c r="VF21" s="65"/>
      <c r="VG21" s="65"/>
      <c r="VH21" s="65"/>
      <c r="VI21" s="65"/>
      <c r="VJ21" s="65"/>
      <c r="VK21" s="65"/>
      <c r="VL21" s="65"/>
      <c r="VM21" s="65"/>
      <c r="VN21" s="65"/>
      <c r="VO21" s="65"/>
      <c r="VP21" s="65"/>
      <c r="VQ21" s="65"/>
      <c r="VR21" s="65"/>
      <c r="VS21" s="65"/>
      <c r="VT21" s="65"/>
      <c r="VU21" s="65"/>
      <c r="VV21" s="65"/>
      <c r="VW21" s="65"/>
      <c r="VX21" s="65"/>
      <c r="VY21" s="65"/>
      <c r="VZ21" s="65"/>
      <c r="WA21" s="65"/>
      <c r="WB21" s="65"/>
      <c r="WC21" s="65"/>
      <c r="WD21" s="65"/>
      <c r="WE21" s="65"/>
      <c r="WF21" s="65"/>
      <c r="WG21" s="65"/>
      <c r="WH21" s="65"/>
      <c r="WI21" s="65"/>
      <c r="WJ21" s="65"/>
      <c r="WK21" s="65"/>
      <c r="WL21" s="65"/>
      <c r="WM21" s="65"/>
      <c r="WN21" s="65"/>
      <c r="WO21" s="65"/>
      <c r="WP21" s="65"/>
      <c r="WQ21" s="65"/>
      <c r="WR21" s="65"/>
      <c r="WS21" s="65"/>
      <c r="WT21" s="65"/>
      <c r="WU21" s="65"/>
      <c r="WV21" s="65"/>
      <c r="WW21" s="65"/>
      <c r="WX21" s="65"/>
      <c r="WY21" s="65"/>
      <c r="WZ21" s="65"/>
      <c r="XA21" s="65"/>
      <c r="XB21" s="65"/>
      <c r="XC21" s="65"/>
      <c r="XD21" s="65"/>
      <c r="XE21" s="65"/>
      <c r="XF21" s="65"/>
      <c r="XG21" s="65"/>
      <c r="XH21" s="65"/>
      <c r="XI21" s="65"/>
      <c r="XJ21" s="65"/>
      <c r="XK21" s="65"/>
      <c r="XL21" s="65"/>
      <c r="XM21" s="65"/>
      <c r="XN21" s="65"/>
      <c r="XO21" s="65"/>
      <c r="XP21" s="65"/>
      <c r="XQ21" s="65"/>
      <c r="XR21" s="65"/>
      <c r="XS21" s="65"/>
      <c r="XT21" s="65"/>
      <c r="XU21" s="65"/>
      <c r="XV21" s="65"/>
      <c r="XW21" s="65"/>
      <c r="XX21" s="65"/>
      <c r="XY21" s="65"/>
      <c r="XZ21" s="65"/>
      <c r="YA21" s="65"/>
      <c r="YB21" s="65"/>
      <c r="YC21" s="65"/>
      <c r="YD21" s="65"/>
      <c r="YE21" s="65"/>
      <c r="YF21" s="65"/>
      <c r="YG21" s="65"/>
      <c r="YH21" s="65"/>
      <c r="YI21" s="65"/>
      <c r="YJ21" s="65"/>
      <c r="YK21" s="65"/>
      <c r="YL21" s="65"/>
      <c r="YM21" s="65"/>
      <c r="YN21" s="65"/>
      <c r="YO21" s="65"/>
      <c r="YP21" s="65"/>
      <c r="YQ21" s="65"/>
      <c r="YR21" s="65"/>
      <c r="YS21" s="65"/>
      <c r="YT21" s="65"/>
      <c r="YU21" s="65"/>
      <c r="YV21" s="65"/>
      <c r="YW21" s="65"/>
      <c r="YX21" s="65"/>
      <c r="YY21" s="65"/>
      <c r="YZ21" s="65"/>
    </row>
    <row r="22" spans="1:676" ht="14.25" customHeight="1">
      <c r="A22" s="68"/>
      <c r="B22" s="223"/>
      <c r="C22" s="223"/>
      <c r="D22" s="223"/>
      <c r="E22" s="223"/>
      <c r="F22" s="223"/>
      <c r="G22" s="223"/>
      <c r="H22" s="223"/>
      <c r="I22" s="223"/>
      <c r="J22" s="223"/>
      <c r="K22" s="223"/>
      <c r="L22" s="223"/>
      <c r="M22" s="254"/>
      <c r="N22" s="64"/>
      <c r="O22" s="117"/>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c r="AP22" s="65"/>
      <c r="AQ22" s="65"/>
      <c r="AR22" s="65"/>
      <c r="AS22" s="65"/>
      <c r="AT22" s="65"/>
      <c r="AU22" s="65"/>
      <c r="AV22" s="65"/>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5"/>
      <c r="BW22" s="65"/>
      <c r="BX22" s="65"/>
      <c r="BY22" s="65"/>
      <c r="BZ22" s="65"/>
      <c r="CA22" s="65"/>
      <c r="CB22" s="65"/>
      <c r="CC22" s="65"/>
      <c r="CD22" s="65"/>
      <c r="CE22" s="65"/>
      <c r="CF22" s="65"/>
      <c r="CG22" s="65"/>
      <c r="CH22" s="65"/>
      <c r="CI22" s="65"/>
      <c r="CJ22" s="65"/>
      <c r="CK22" s="65"/>
      <c r="CL22" s="65"/>
      <c r="CM22" s="65"/>
      <c r="CN22" s="65"/>
      <c r="CO22" s="65"/>
      <c r="CP22" s="65"/>
      <c r="CQ22" s="65"/>
      <c r="CR22" s="65"/>
      <c r="CS22" s="65"/>
      <c r="CT22" s="65"/>
      <c r="CU22" s="65"/>
      <c r="CV22" s="65"/>
      <c r="CW22" s="65"/>
      <c r="CX22" s="65"/>
      <c r="CY22" s="65"/>
      <c r="CZ22" s="65"/>
      <c r="DA22" s="65"/>
      <c r="DB22" s="65"/>
      <c r="DC22" s="65"/>
      <c r="DD22" s="65"/>
      <c r="DE22" s="65"/>
      <c r="DF22" s="65"/>
      <c r="DG22" s="65"/>
      <c r="DH22" s="65"/>
      <c r="DI22" s="65"/>
      <c r="DJ22" s="65"/>
      <c r="DK22" s="65"/>
      <c r="DL22" s="65"/>
      <c r="DM22" s="65"/>
      <c r="DN22" s="65"/>
      <c r="DO22" s="65"/>
      <c r="DP22" s="65"/>
      <c r="DQ22" s="65"/>
      <c r="DR22" s="65"/>
      <c r="DS22" s="65"/>
      <c r="DT22" s="65"/>
      <c r="DU22" s="65"/>
      <c r="DV22" s="65"/>
      <c r="DW22" s="65"/>
      <c r="DX22" s="65"/>
      <c r="DY22" s="65"/>
      <c r="DZ22" s="65"/>
      <c r="EA22" s="65"/>
      <c r="EB22" s="65"/>
      <c r="EC22" s="65"/>
      <c r="ED22" s="65"/>
      <c r="EE22" s="65"/>
      <c r="EF22" s="65"/>
      <c r="EG22" s="65"/>
      <c r="EH22" s="65"/>
      <c r="EI22" s="65"/>
      <c r="EJ22" s="65"/>
      <c r="EK22" s="65"/>
      <c r="EL22" s="65"/>
      <c r="EM22" s="65"/>
      <c r="EN22" s="65"/>
      <c r="EO22" s="65"/>
      <c r="EP22" s="65"/>
      <c r="EQ22" s="65"/>
      <c r="ER22" s="65"/>
      <c r="ES22" s="65"/>
      <c r="ET22" s="65"/>
      <c r="EU22" s="65"/>
      <c r="EV22" s="65"/>
      <c r="EW22" s="65"/>
      <c r="EX22" s="65"/>
      <c r="EY22" s="65"/>
      <c r="EZ22" s="65"/>
      <c r="FA22" s="65"/>
      <c r="FB22" s="65"/>
      <c r="FC22" s="65"/>
      <c r="FD22" s="65"/>
      <c r="FE22" s="65"/>
      <c r="FF22" s="65"/>
      <c r="FG22" s="65"/>
      <c r="FH22" s="65"/>
      <c r="FI22" s="65"/>
      <c r="FJ22" s="65"/>
      <c r="FK22" s="65"/>
      <c r="FL22" s="65"/>
      <c r="FM22" s="65"/>
      <c r="FN22" s="65"/>
      <c r="FO22" s="65"/>
      <c r="FP22" s="65"/>
      <c r="FQ22" s="65"/>
      <c r="FR22" s="65"/>
      <c r="FS22" s="65"/>
      <c r="FT22" s="65"/>
      <c r="FU22" s="65"/>
      <c r="FV22" s="65"/>
      <c r="FW22" s="65"/>
      <c r="FX22" s="65"/>
      <c r="FY22" s="65"/>
      <c r="FZ22" s="65"/>
      <c r="GA22" s="65"/>
      <c r="GB22" s="65"/>
      <c r="GC22" s="65"/>
      <c r="GD22" s="65"/>
      <c r="GE22" s="65"/>
      <c r="GF22" s="65"/>
      <c r="GG22" s="65"/>
      <c r="GH22" s="65"/>
      <c r="GI22" s="65"/>
      <c r="GJ22" s="65"/>
      <c r="GK22" s="65"/>
      <c r="GL22" s="65"/>
      <c r="GM22" s="65"/>
      <c r="GN22" s="65"/>
      <c r="GO22" s="65"/>
      <c r="GP22" s="65"/>
      <c r="GQ22" s="65"/>
      <c r="GR22" s="65"/>
      <c r="GS22" s="65"/>
      <c r="GT22" s="65"/>
      <c r="GU22" s="65"/>
      <c r="GV22" s="65"/>
      <c r="GW22" s="65"/>
      <c r="GX22" s="65"/>
      <c r="GY22" s="65"/>
      <c r="GZ22" s="65"/>
      <c r="HA22" s="65"/>
      <c r="HB22" s="65"/>
      <c r="HC22" s="65"/>
      <c r="HD22" s="65"/>
      <c r="HE22" s="65"/>
      <c r="HF22" s="65"/>
      <c r="HG22" s="65"/>
      <c r="HH22" s="65"/>
      <c r="HI22" s="65"/>
      <c r="HJ22" s="65"/>
      <c r="HK22" s="65"/>
      <c r="HL22" s="65"/>
      <c r="HM22" s="65"/>
      <c r="HN22" s="65"/>
      <c r="HO22" s="65"/>
      <c r="HP22" s="65"/>
      <c r="HQ22" s="65"/>
      <c r="HR22" s="65"/>
      <c r="HS22" s="65"/>
      <c r="HT22" s="65"/>
      <c r="HU22" s="65"/>
      <c r="HV22" s="65"/>
      <c r="HW22" s="65"/>
      <c r="HX22" s="65"/>
      <c r="HY22" s="65"/>
      <c r="HZ22" s="65"/>
      <c r="IA22" s="65"/>
      <c r="IB22" s="65"/>
      <c r="IC22" s="65"/>
      <c r="ID22" s="65"/>
      <c r="IE22" s="65"/>
      <c r="IF22" s="65"/>
      <c r="IG22" s="65"/>
      <c r="IH22" s="65"/>
      <c r="II22" s="65"/>
      <c r="IJ22" s="65"/>
      <c r="IK22" s="65"/>
      <c r="IL22" s="65"/>
      <c r="IM22" s="65"/>
      <c r="IN22" s="65"/>
      <c r="IO22" s="65"/>
      <c r="IP22" s="65"/>
      <c r="IQ22" s="65"/>
      <c r="IR22" s="65"/>
      <c r="IS22" s="65"/>
      <c r="IT22" s="65"/>
      <c r="IU22" s="65"/>
      <c r="IV22" s="65"/>
      <c r="IW22" s="65"/>
      <c r="IX22" s="65"/>
      <c r="IY22" s="65"/>
      <c r="IZ22" s="65"/>
      <c r="JA22" s="65"/>
      <c r="JB22" s="65"/>
      <c r="JC22" s="65"/>
      <c r="JD22" s="65"/>
      <c r="JE22" s="65"/>
      <c r="JF22" s="65"/>
      <c r="JG22" s="65"/>
      <c r="JH22" s="65"/>
      <c r="JI22" s="65"/>
      <c r="JJ22" s="65"/>
      <c r="JK22" s="65"/>
      <c r="JL22" s="65"/>
      <c r="JM22" s="65"/>
      <c r="JN22" s="65"/>
      <c r="JO22" s="65"/>
      <c r="JP22" s="65"/>
      <c r="JQ22" s="65"/>
      <c r="JR22" s="65"/>
      <c r="JS22" s="65"/>
      <c r="JT22" s="65"/>
      <c r="JU22" s="65"/>
      <c r="JV22" s="65"/>
      <c r="JW22" s="65"/>
      <c r="JX22" s="65"/>
      <c r="JY22" s="65"/>
      <c r="JZ22" s="65"/>
      <c r="KA22" s="65"/>
      <c r="KB22" s="65"/>
      <c r="KC22" s="65"/>
      <c r="KD22" s="65"/>
      <c r="KE22" s="65"/>
      <c r="KF22" s="65"/>
      <c r="KG22" s="65"/>
      <c r="KH22" s="65"/>
      <c r="KI22" s="65"/>
      <c r="KJ22" s="65"/>
      <c r="KK22" s="65"/>
      <c r="KL22" s="65"/>
      <c r="KM22" s="65"/>
      <c r="KN22" s="65"/>
      <c r="KO22" s="65"/>
      <c r="KP22" s="65"/>
      <c r="KQ22" s="65"/>
      <c r="KR22" s="65"/>
      <c r="KS22" s="65"/>
      <c r="KT22" s="65"/>
      <c r="KU22" s="65"/>
      <c r="KV22" s="65"/>
      <c r="KW22" s="65"/>
      <c r="KX22" s="65"/>
      <c r="KY22" s="65"/>
      <c r="KZ22" s="65"/>
      <c r="LA22" s="65"/>
      <c r="LB22" s="65"/>
      <c r="LC22" s="65"/>
      <c r="LD22" s="65"/>
      <c r="LE22" s="65"/>
      <c r="LF22" s="65"/>
      <c r="LG22" s="65"/>
      <c r="LH22" s="65"/>
      <c r="LI22" s="65"/>
      <c r="LJ22" s="65"/>
      <c r="LK22" s="65"/>
      <c r="LL22" s="65"/>
      <c r="LM22" s="65"/>
      <c r="LN22" s="65"/>
      <c r="LO22" s="65"/>
      <c r="LP22" s="65"/>
      <c r="LQ22" s="65"/>
      <c r="LR22" s="65"/>
      <c r="LS22" s="65"/>
      <c r="LT22" s="65"/>
      <c r="LU22" s="65"/>
      <c r="LV22" s="65"/>
      <c r="LW22" s="65"/>
      <c r="LX22" s="65"/>
      <c r="LY22" s="65"/>
      <c r="LZ22" s="65"/>
      <c r="MA22" s="65"/>
      <c r="MB22" s="65"/>
      <c r="MC22" s="65"/>
      <c r="MD22" s="65"/>
      <c r="ME22" s="65"/>
      <c r="MF22" s="65"/>
      <c r="MG22" s="65"/>
      <c r="MH22" s="65"/>
      <c r="MI22" s="65"/>
      <c r="MJ22" s="65"/>
      <c r="MK22" s="65"/>
      <c r="ML22" s="65"/>
      <c r="MM22" s="65"/>
      <c r="MN22" s="65"/>
      <c r="MO22" s="65"/>
      <c r="MP22" s="65"/>
      <c r="MQ22" s="65"/>
      <c r="MR22" s="65"/>
      <c r="MS22" s="65"/>
      <c r="MT22" s="65"/>
      <c r="MU22" s="65"/>
      <c r="MV22" s="65"/>
      <c r="MW22" s="65"/>
      <c r="MX22" s="65"/>
      <c r="MY22" s="65"/>
      <c r="MZ22" s="65"/>
      <c r="NA22" s="65"/>
      <c r="NB22" s="65"/>
      <c r="NC22" s="65"/>
      <c r="ND22" s="65"/>
      <c r="NE22" s="65"/>
      <c r="NF22" s="65"/>
      <c r="NG22" s="65"/>
      <c r="NH22" s="65"/>
      <c r="NI22" s="65"/>
      <c r="NJ22" s="65"/>
      <c r="NK22" s="65"/>
      <c r="NL22" s="65"/>
      <c r="NM22" s="65"/>
      <c r="NN22" s="65"/>
      <c r="NO22" s="65"/>
      <c r="NP22" s="65"/>
      <c r="NQ22" s="65"/>
      <c r="NR22" s="65"/>
      <c r="NS22" s="65"/>
      <c r="NT22" s="65"/>
      <c r="NU22" s="65"/>
      <c r="NV22" s="65"/>
      <c r="NW22" s="65"/>
      <c r="NX22" s="65"/>
      <c r="NY22" s="65"/>
      <c r="NZ22" s="65"/>
      <c r="OA22" s="65"/>
      <c r="OB22" s="65"/>
      <c r="OC22" s="65"/>
      <c r="OD22" s="65"/>
      <c r="OE22" s="65"/>
      <c r="OF22" s="65"/>
      <c r="OG22" s="65"/>
      <c r="OH22" s="65"/>
      <c r="OI22" s="65"/>
      <c r="OJ22" s="65"/>
      <c r="OK22" s="65"/>
      <c r="OL22" s="65"/>
      <c r="OM22" s="65"/>
      <c r="ON22" s="65"/>
      <c r="OO22" s="65"/>
      <c r="OP22" s="65"/>
      <c r="OQ22" s="65"/>
      <c r="OR22" s="65"/>
      <c r="OS22" s="65"/>
      <c r="OT22" s="65"/>
      <c r="OU22" s="65"/>
      <c r="OV22" s="65"/>
      <c r="OW22" s="65"/>
      <c r="OX22" s="65"/>
      <c r="OY22" s="65"/>
      <c r="OZ22" s="65"/>
      <c r="PA22" s="65"/>
      <c r="PB22" s="65"/>
      <c r="PC22" s="65"/>
      <c r="PD22" s="65"/>
      <c r="PE22" s="65"/>
      <c r="PF22" s="65"/>
      <c r="PG22" s="65"/>
      <c r="PH22" s="65"/>
      <c r="PI22" s="65"/>
      <c r="PJ22" s="65"/>
      <c r="PK22" s="65"/>
      <c r="PL22" s="65"/>
      <c r="PM22" s="65"/>
      <c r="PN22" s="65"/>
      <c r="PO22" s="65"/>
      <c r="PP22" s="65"/>
      <c r="PQ22" s="65"/>
      <c r="PR22" s="65"/>
      <c r="PS22" s="65"/>
      <c r="PT22" s="65"/>
      <c r="PU22" s="65"/>
      <c r="PV22" s="65"/>
      <c r="PW22" s="65"/>
      <c r="PX22" s="65"/>
      <c r="PY22" s="65"/>
      <c r="PZ22" s="65"/>
      <c r="QA22" s="65"/>
      <c r="QB22" s="65"/>
      <c r="QC22" s="65"/>
      <c r="QD22" s="65"/>
      <c r="QE22" s="65"/>
      <c r="QF22" s="65"/>
      <c r="QG22" s="65"/>
      <c r="QH22" s="65"/>
      <c r="QI22" s="65"/>
      <c r="QJ22" s="65"/>
      <c r="QK22" s="65"/>
      <c r="QL22" s="65"/>
      <c r="QM22" s="65"/>
      <c r="QN22" s="65"/>
      <c r="QO22" s="65"/>
      <c r="QP22" s="65"/>
      <c r="QQ22" s="65"/>
      <c r="QR22" s="65"/>
      <c r="QS22" s="65"/>
      <c r="QT22" s="65"/>
      <c r="QU22" s="65"/>
      <c r="QV22" s="65"/>
      <c r="QW22" s="65"/>
      <c r="QX22" s="65"/>
      <c r="QY22" s="65"/>
      <c r="QZ22" s="65"/>
      <c r="RA22" s="65"/>
      <c r="RB22" s="65"/>
      <c r="RC22" s="65"/>
      <c r="RD22" s="65"/>
      <c r="RE22" s="65"/>
      <c r="RF22" s="65"/>
      <c r="RG22" s="65"/>
      <c r="RH22" s="65"/>
      <c r="RI22" s="65"/>
      <c r="RJ22" s="65"/>
      <c r="RK22" s="65"/>
      <c r="RL22" s="65"/>
      <c r="RM22" s="65"/>
      <c r="RN22" s="65"/>
      <c r="RO22" s="65"/>
      <c r="RP22" s="65"/>
      <c r="RQ22" s="65"/>
      <c r="RR22" s="65"/>
      <c r="RS22" s="65"/>
      <c r="RT22" s="65"/>
      <c r="RU22" s="65"/>
      <c r="RV22" s="65"/>
      <c r="RW22" s="65"/>
      <c r="RX22" s="65"/>
      <c r="RY22" s="65"/>
      <c r="RZ22" s="65"/>
      <c r="SA22" s="65"/>
      <c r="SB22" s="65"/>
      <c r="SC22" s="65"/>
      <c r="SD22" s="65"/>
      <c r="SE22" s="65"/>
      <c r="SF22" s="65"/>
      <c r="SG22" s="65"/>
      <c r="SH22" s="65"/>
      <c r="SI22" s="65"/>
      <c r="SJ22" s="65"/>
      <c r="SK22" s="65"/>
      <c r="SL22" s="65"/>
      <c r="SM22" s="65"/>
      <c r="SN22" s="65"/>
      <c r="SO22" s="65"/>
      <c r="SP22" s="65"/>
      <c r="SQ22" s="65"/>
      <c r="SR22" s="65"/>
      <c r="SS22" s="65"/>
      <c r="ST22" s="65"/>
      <c r="SU22" s="65"/>
      <c r="SV22" s="65"/>
      <c r="SW22" s="65"/>
      <c r="SX22" s="65"/>
      <c r="SY22" s="65"/>
      <c r="SZ22" s="65"/>
      <c r="TA22" s="65"/>
      <c r="TB22" s="65"/>
      <c r="TC22" s="65"/>
      <c r="TD22" s="65"/>
      <c r="TE22" s="65"/>
      <c r="TF22" s="65"/>
      <c r="TG22" s="65"/>
      <c r="TH22" s="65"/>
      <c r="TI22" s="65"/>
      <c r="TJ22" s="65"/>
      <c r="TK22" s="65"/>
      <c r="TL22" s="65"/>
      <c r="TM22" s="65"/>
      <c r="TN22" s="65"/>
      <c r="TO22" s="65"/>
      <c r="TP22" s="65"/>
      <c r="TQ22" s="65"/>
      <c r="TR22" s="65"/>
      <c r="TS22" s="65"/>
      <c r="TT22" s="65"/>
      <c r="TU22" s="65"/>
      <c r="TV22" s="65"/>
      <c r="TW22" s="65"/>
      <c r="TX22" s="65"/>
      <c r="TY22" s="65"/>
      <c r="TZ22" s="65"/>
      <c r="UA22" s="65"/>
      <c r="UB22" s="65"/>
      <c r="UC22" s="65"/>
      <c r="UD22" s="65"/>
      <c r="UE22" s="65"/>
      <c r="UF22" s="65"/>
      <c r="UG22" s="65"/>
      <c r="UH22" s="65"/>
      <c r="UI22" s="65"/>
      <c r="UJ22" s="65"/>
      <c r="UK22" s="65"/>
      <c r="UL22" s="65"/>
      <c r="UM22" s="65"/>
      <c r="UN22" s="65"/>
      <c r="UO22" s="65"/>
      <c r="UP22" s="65"/>
      <c r="UQ22" s="65"/>
      <c r="UR22" s="65"/>
      <c r="US22" s="65"/>
      <c r="UT22" s="65"/>
      <c r="UU22" s="65"/>
      <c r="UV22" s="65"/>
      <c r="UW22" s="65"/>
      <c r="UX22" s="65"/>
      <c r="UY22" s="65"/>
      <c r="UZ22" s="65"/>
      <c r="VA22" s="65"/>
      <c r="VB22" s="65"/>
      <c r="VC22" s="65"/>
      <c r="VD22" s="65"/>
      <c r="VE22" s="65"/>
      <c r="VF22" s="65"/>
      <c r="VG22" s="65"/>
      <c r="VH22" s="65"/>
      <c r="VI22" s="65"/>
      <c r="VJ22" s="65"/>
      <c r="VK22" s="65"/>
      <c r="VL22" s="65"/>
      <c r="VM22" s="65"/>
      <c r="VN22" s="65"/>
      <c r="VO22" s="65"/>
      <c r="VP22" s="65"/>
      <c r="VQ22" s="65"/>
      <c r="VR22" s="65"/>
      <c r="VS22" s="65"/>
      <c r="VT22" s="65"/>
      <c r="VU22" s="65"/>
      <c r="VV22" s="65"/>
      <c r="VW22" s="65"/>
      <c r="VX22" s="65"/>
      <c r="VY22" s="65"/>
      <c r="VZ22" s="65"/>
      <c r="WA22" s="65"/>
      <c r="WB22" s="65"/>
      <c r="WC22" s="65"/>
      <c r="WD22" s="65"/>
      <c r="WE22" s="65"/>
      <c r="WF22" s="65"/>
      <c r="WG22" s="65"/>
      <c r="WH22" s="65"/>
      <c r="WI22" s="65"/>
      <c r="WJ22" s="65"/>
      <c r="WK22" s="65"/>
      <c r="WL22" s="65"/>
      <c r="WM22" s="65"/>
      <c r="WN22" s="65"/>
      <c r="WO22" s="65"/>
      <c r="WP22" s="65"/>
      <c r="WQ22" s="65"/>
      <c r="WR22" s="65"/>
      <c r="WS22" s="65"/>
      <c r="WT22" s="65"/>
      <c r="WU22" s="65"/>
      <c r="WV22" s="65"/>
      <c r="WW22" s="65"/>
      <c r="WX22" s="65"/>
      <c r="WY22" s="65"/>
      <c r="WZ22" s="65"/>
      <c r="XA22" s="65"/>
      <c r="XB22" s="65"/>
      <c r="XC22" s="65"/>
      <c r="XD22" s="65"/>
      <c r="XE22" s="65"/>
      <c r="XF22" s="65"/>
      <c r="XG22" s="65"/>
      <c r="XH22" s="65"/>
      <c r="XI22" s="65"/>
      <c r="XJ22" s="65"/>
      <c r="XK22" s="65"/>
      <c r="XL22" s="65"/>
      <c r="XM22" s="65"/>
      <c r="XN22" s="65"/>
      <c r="XO22" s="65"/>
      <c r="XP22" s="65"/>
      <c r="XQ22" s="65"/>
      <c r="XR22" s="65"/>
      <c r="XS22" s="65"/>
      <c r="XT22" s="65"/>
      <c r="XU22" s="65"/>
      <c r="XV22" s="65"/>
      <c r="XW22" s="65"/>
      <c r="XX22" s="65"/>
      <c r="XY22" s="65"/>
      <c r="XZ22" s="65"/>
      <c r="YA22" s="65"/>
      <c r="YB22" s="65"/>
      <c r="YC22" s="65"/>
      <c r="YD22" s="65"/>
      <c r="YE22" s="65"/>
      <c r="YF22" s="65"/>
      <c r="YG22" s="65"/>
      <c r="YH22" s="65"/>
      <c r="YI22" s="65"/>
      <c r="YJ22" s="65"/>
      <c r="YK22" s="65"/>
      <c r="YL22" s="65"/>
      <c r="YM22" s="65"/>
      <c r="YN22" s="65"/>
      <c r="YO22" s="65"/>
      <c r="YP22" s="65"/>
      <c r="YQ22" s="65"/>
      <c r="YR22" s="65"/>
      <c r="YS22" s="65"/>
      <c r="YT22" s="65"/>
      <c r="YU22" s="65"/>
      <c r="YV22" s="65"/>
      <c r="YW22" s="65"/>
      <c r="YX22" s="65"/>
      <c r="YY22" s="65"/>
      <c r="YZ22" s="65"/>
    </row>
    <row r="23" spans="1:676" ht="20.5">
      <c r="A23" s="68"/>
      <c r="B23" s="218" t="str">
        <f>"Anzahl Fälle bei "&amp;E5&amp;" Betten, bei "&amp;E6*100&amp;"% Auslastung"</f>
        <v>Anzahl Fälle bei 25698 Betten, bei 48,96% Auslastung</v>
      </c>
      <c r="C23" s="326">
        <f>E5*E6</f>
        <v>12581.7408</v>
      </c>
      <c r="D23" s="327"/>
      <c r="E23" s="328"/>
      <c r="F23" s="223"/>
      <c r="G23" s="223"/>
      <c r="H23" s="223"/>
      <c r="I23" s="218" t="str">
        <f>"Anzahl Fälle bei "&amp;J5&amp;" Betten, bei "&amp;J6*100&amp;"% Auslastung"</f>
        <v>Anzahl Fälle bei 3007 Betten, bei 47,62% Auslastung</v>
      </c>
      <c r="J23" s="326">
        <f>J5*J6</f>
        <v>1431.9334000000001</v>
      </c>
      <c r="K23" s="328"/>
      <c r="L23" s="223"/>
      <c r="M23" s="254"/>
      <c r="N23" s="64"/>
      <c r="O23" s="117"/>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c r="AQ23" s="65"/>
      <c r="AR23" s="65"/>
      <c r="AS23" s="65"/>
      <c r="AT23" s="65"/>
      <c r="AU23" s="65"/>
      <c r="AV23" s="65"/>
      <c r="AW23" s="65"/>
      <c r="AX23" s="65"/>
      <c r="AY23" s="65"/>
      <c r="AZ23" s="65"/>
      <c r="BA23" s="65"/>
      <c r="BB23" s="65"/>
      <c r="BC23" s="65"/>
      <c r="BD23" s="65"/>
      <c r="BE23" s="65"/>
      <c r="BF23" s="65"/>
      <c r="BG23" s="65"/>
      <c r="BH23" s="65"/>
      <c r="BI23" s="65"/>
      <c r="BJ23" s="65"/>
      <c r="BK23" s="65"/>
      <c r="BL23" s="65"/>
      <c r="BM23" s="65"/>
      <c r="BN23" s="65"/>
      <c r="BO23" s="65"/>
      <c r="BP23" s="65"/>
      <c r="BQ23" s="65"/>
      <c r="BR23" s="65"/>
      <c r="BS23" s="65"/>
      <c r="BT23" s="65"/>
      <c r="BU23" s="65"/>
      <c r="BV23" s="65"/>
      <c r="BW23" s="65"/>
      <c r="BX23" s="65"/>
      <c r="BY23" s="65"/>
      <c r="BZ23" s="65"/>
      <c r="CA23" s="65"/>
      <c r="CB23" s="65"/>
      <c r="CC23" s="65"/>
      <c r="CD23" s="65"/>
      <c r="CE23" s="65"/>
      <c r="CF23" s="65"/>
      <c r="CG23" s="65"/>
      <c r="CH23" s="65"/>
      <c r="CI23" s="65"/>
      <c r="CJ23" s="65"/>
      <c r="CK23" s="65"/>
      <c r="CL23" s="65"/>
      <c r="CM23" s="65"/>
      <c r="CN23" s="65"/>
      <c r="CO23" s="65"/>
      <c r="CP23" s="65"/>
      <c r="CQ23" s="65"/>
      <c r="CR23" s="65"/>
      <c r="CS23" s="65"/>
      <c r="CT23" s="65"/>
      <c r="CU23" s="65"/>
      <c r="CV23" s="65"/>
      <c r="CW23" s="65"/>
      <c r="CX23" s="65"/>
      <c r="CY23" s="65"/>
      <c r="CZ23" s="65"/>
      <c r="DA23" s="65"/>
      <c r="DB23" s="65"/>
      <c r="DC23" s="65"/>
      <c r="DD23" s="65"/>
      <c r="DE23" s="65"/>
      <c r="DF23" s="65"/>
      <c r="DG23" s="65"/>
      <c r="DH23" s="65"/>
      <c r="DI23" s="65"/>
      <c r="DJ23" s="65"/>
      <c r="DK23" s="65"/>
      <c r="DL23" s="65"/>
      <c r="DM23" s="65"/>
      <c r="DN23" s="65"/>
      <c r="DO23" s="65"/>
      <c r="DP23" s="65"/>
      <c r="DQ23" s="65"/>
      <c r="DR23" s="65"/>
      <c r="DS23" s="65"/>
      <c r="DT23" s="65"/>
      <c r="DU23" s="65"/>
      <c r="DV23" s="65"/>
      <c r="DW23" s="65"/>
      <c r="DX23" s="65"/>
      <c r="DY23" s="65"/>
      <c r="DZ23" s="65"/>
      <c r="EA23" s="65"/>
      <c r="EB23" s="65"/>
      <c r="EC23" s="65"/>
      <c r="ED23" s="65"/>
      <c r="EE23" s="65"/>
      <c r="EF23" s="65"/>
      <c r="EG23" s="65"/>
      <c r="EH23" s="65"/>
      <c r="EI23" s="65"/>
      <c r="EJ23" s="65"/>
      <c r="EK23" s="65"/>
      <c r="EL23" s="65"/>
      <c r="EM23" s="65"/>
      <c r="EN23" s="65"/>
      <c r="EO23" s="65"/>
      <c r="EP23" s="65"/>
      <c r="EQ23" s="65"/>
      <c r="ER23" s="65"/>
      <c r="ES23" s="65"/>
      <c r="ET23" s="65"/>
      <c r="EU23" s="65"/>
      <c r="EV23" s="65"/>
      <c r="EW23" s="65"/>
      <c r="EX23" s="65"/>
      <c r="EY23" s="65"/>
      <c r="EZ23" s="65"/>
      <c r="FA23" s="65"/>
      <c r="FB23" s="65"/>
      <c r="FC23" s="65"/>
      <c r="FD23" s="65"/>
      <c r="FE23" s="65"/>
      <c r="FF23" s="65"/>
      <c r="FG23" s="65"/>
      <c r="FH23" s="65"/>
      <c r="FI23" s="65"/>
      <c r="FJ23" s="65"/>
      <c r="FK23" s="65"/>
      <c r="FL23" s="65"/>
      <c r="FM23" s="65"/>
      <c r="FN23" s="65"/>
      <c r="FO23" s="65"/>
      <c r="FP23" s="65"/>
      <c r="FQ23" s="65"/>
      <c r="FR23" s="65"/>
      <c r="FS23" s="65"/>
      <c r="FT23" s="65"/>
      <c r="FU23" s="65"/>
      <c r="FV23" s="65"/>
      <c r="FW23" s="65"/>
      <c r="FX23" s="65"/>
      <c r="FY23" s="65"/>
      <c r="FZ23" s="65"/>
      <c r="GA23" s="65"/>
      <c r="GB23" s="65"/>
      <c r="GC23" s="65"/>
      <c r="GD23" s="65"/>
      <c r="GE23" s="65"/>
      <c r="GF23" s="65"/>
      <c r="GG23" s="65"/>
      <c r="GH23" s="65"/>
      <c r="GI23" s="65"/>
      <c r="GJ23" s="65"/>
      <c r="GK23" s="65"/>
      <c r="GL23" s="65"/>
      <c r="GM23" s="65"/>
      <c r="GN23" s="65"/>
      <c r="GO23" s="65"/>
      <c r="GP23" s="65"/>
      <c r="GQ23" s="65"/>
      <c r="GR23" s="65"/>
      <c r="GS23" s="65"/>
      <c r="GT23" s="65"/>
      <c r="GU23" s="65"/>
      <c r="GV23" s="65"/>
      <c r="GW23" s="65"/>
      <c r="GX23" s="65"/>
      <c r="GY23" s="65"/>
      <c r="GZ23" s="65"/>
      <c r="HA23" s="65"/>
      <c r="HB23" s="65"/>
      <c r="HC23" s="65"/>
      <c r="HD23" s="65"/>
      <c r="HE23" s="65"/>
      <c r="HF23" s="65"/>
      <c r="HG23" s="65"/>
      <c r="HH23" s="65"/>
      <c r="HI23" s="65"/>
      <c r="HJ23" s="65"/>
      <c r="HK23" s="65"/>
      <c r="HL23" s="65"/>
      <c r="HM23" s="65"/>
      <c r="HN23" s="65"/>
      <c r="HO23" s="65"/>
      <c r="HP23" s="65"/>
      <c r="HQ23" s="65"/>
      <c r="HR23" s="65"/>
      <c r="HS23" s="65"/>
      <c r="HT23" s="65"/>
      <c r="HU23" s="65"/>
      <c r="HV23" s="65"/>
      <c r="HW23" s="65"/>
      <c r="HX23" s="65"/>
      <c r="HY23" s="65"/>
      <c r="HZ23" s="65"/>
      <c r="IA23" s="65"/>
      <c r="IB23" s="65"/>
      <c r="IC23" s="65"/>
      <c r="ID23" s="65"/>
      <c r="IE23" s="65"/>
      <c r="IF23" s="65"/>
      <c r="IG23" s="65"/>
      <c r="IH23" s="65"/>
      <c r="II23" s="65"/>
      <c r="IJ23" s="65"/>
      <c r="IK23" s="65"/>
      <c r="IL23" s="65"/>
      <c r="IM23" s="65"/>
      <c r="IN23" s="65"/>
      <c r="IO23" s="65"/>
      <c r="IP23" s="65"/>
      <c r="IQ23" s="65"/>
      <c r="IR23" s="65"/>
      <c r="IS23" s="65"/>
      <c r="IT23" s="65"/>
      <c r="IU23" s="65"/>
      <c r="IV23" s="65"/>
      <c r="IW23" s="65"/>
      <c r="IX23" s="65"/>
      <c r="IY23" s="65"/>
      <c r="IZ23" s="65"/>
      <c r="JA23" s="65"/>
      <c r="JB23" s="65"/>
      <c r="JC23" s="65"/>
      <c r="JD23" s="65"/>
      <c r="JE23" s="65"/>
      <c r="JF23" s="65"/>
      <c r="JG23" s="65"/>
      <c r="JH23" s="65"/>
      <c r="JI23" s="65"/>
      <c r="JJ23" s="65"/>
      <c r="JK23" s="65"/>
      <c r="JL23" s="65"/>
      <c r="JM23" s="65"/>
      <c r="JN23" s="65"/>
      <c r="JO23" s="65"/>
      <c r="JP23" s="65"/>
      <c r="JQ23" s="65"/>
      <c r="JR23" s="65"/>
      <c r="JS23" s="65"/>
      <c r="JT23" s="65"/>
      <c r="JU23" s="65"/>
      <c r="JV23" s="65"/>
      <c r="JW23" s="65"/>
      <c r="JX23" s="65"/>
      <c r="JY23" s="65"/>
      <c r="JZ23" s="65"/>
      <c r="KA23" s="65"/>
      <c r="KB23" s="65"/>
      <c r="KC23" s="65"/>
      <c r="KD23" s="65"/>
      <c r="KE23" s="65"/>
      <c r="KF23" s="65"/>
      <c r="KG23" s="65"/>
      <c r="KH23" s="65"/>
      <c r="KI23" s="65"/>
      <c r="KJ23" s="65"/>
      <c r="KK23" s="65"/>
      <c r="KL23" s="65"/>
      <c r="KM23" s="65"/>
      <c r="KN23" s="65"/>
      <c r="KO23" s="65"/>
      <c r="KP23" s="65"/>
      <c r="KQ23" s="65"/>
      <c r="KR23" s="65"/>
      <c r="KS23" s="65"/>
      <c r="KT23" s="65"/>
      <c r="KU23" s="65"/>
      <c r="KV23" s="65"/>
      <c r="KW23" s="65"/>
      <c r="KX23" s="65"/>
      <c r="KY23" s="65"/>
      <c r="KZ23" s="65"/>
      <c r="LA23" s="65"/>
      <c r="LB23" s="65"/>
      <c r="LC23" s="65"/>
      <c r="LD23" s="65"/>
      <c r="LE23" s="65"/>
      <c r="LF23" s="65"/>
      <c r="LG23" s="65"/>
      <c r="LH23" s="65"/>
      <c r="LI23" s="65"/>
      <c r="LJ23" s="65"/>
      <c r="LK23" s="65"/>
      <c r="LL23" s="65"/>
      <c r="LM23" s="65"/>
      <c r="LN23" s="65"/>
      <c r="LO23" s="65"/>
      <c r="LP23" s="65"/>
      <c r="LQ23" s="65"/>
      <c r="LR23" s="65"/>
      <c r="LS23" s="65"/>
      <c r="LT23" s="65"/>
      <c r="LU23" s="65"/>
      <c r="LV23" s="65"/>
      <c r="LW23" s="65"/>
      <c r="LX23" s="65"/>
      <c r="LY23" s="65"/>
      <c r="LZ23" s="65"/>
      <c r="MA23" s="65"/>
      <c r="MB23" s="65"/>
      <c r="MC23" s="65"/>
      <c r="MD23" s="65"/>
      <c r="ME23" s="65"/>
      <c r="MF23" s="65"/>
      <c r="MG23" s="65"/>
      <c r="MH23" s="65"/>
      <c r="MI23" s="65"/>
      <c r="MJ23" s="65"/>
      <c r="MK23" s="65"/>
      <c r="ML23" s="65"/>
      <c r="MM23" s="65"/>
      <c r="MN23" s="65"/>
      <c r="MO23" s="65"/>
      <c r="MP23" s="65"/>
      <c r="MQ23" s="65"/>
      <c r="MR23" s="65"/>
      <c r="MS23" s="65"/>
      <c r="MT23" s="65"/>
      <c r="MU23" s="65"/>
      <c r="MV23" s="65"/>
      <c r="MW23" s="65"/>
      <c r="MX23" s="65"/>
      <c r="MY23" s="65"/>
      <c r="MZ23" s="65"/>
      <c r="NA23" s="65"/>
      <c r="NB23" s="65"/>
      <c r="NC23" s="65"/>
      <c r="ND23" s="65"/>
      <c r="NE23" s="65"/>
      <c r="NF23" s="65"/>
      <c r="NG23" s="65"/>
      <c r="NH23" s="65"/>
      <c r="NI23" s="65"/>
      <c r="NJ23" s="65"/>
      <c r="NK23" s="65"/>
      <c r="NL23" s="65"/>
      <c r="NM23" s="65"/>
      <c r="NN23" s="65"/>
      <c r="NO23" s="65"/>
      <c r="NP23" s="65"/>
      <c r="NQ23" s="65"/>
      <c r="NR23" s="65"/>
      <c r="NS23" s="65"/>
      <c r="NT23" s="65"/>
      <c r="NU23" s="65"/>
      <c r="NV23" s="65"/>
      <c r="NW23" s="65"/>
      <c r="NX23" s="65"/>
      <c r="NY23" s="65"/>
      <c r="NZ23" s="65"/>
      <c r="OA23" s="65"/>
      <c r="OB23" s="65"/>
      <c r="OC23" s="65"/>
      <c r="OD23" s="65"/>
      <c r="OE23" s="65"/>
      <c r="OF23" s="65"/>
      <c r="OG23" s="65"/>
      <c r="OH23" s="65"/>
      <c r="OI23" s="65"/>
      <c r="OJ23" s="65"/>
      <c r="OK23" s="65"/>
      <c r="OL23" s="65"/>
      <c r="OM23" s="65"/>
      <c r="ON23" s="65"/>
      <c r="OO23" s="65"/>
      <c r="OP23" s="65"/>
      <c r="OQ23" s="65"/>
      <c r="OR23" s="65"/>
      <c r="OS23" s="65"/>
      <c r="OT23" s="65"/>
      <c r="OU23" s="65"/>
      <c r="OV23" s="65"/>
      <c r="OW23" s="65"/>
      <c r="OX23" s="65"/>
      <c r="OY23" s="65"/>
      <c r="OZ23" s="65"/>
      <c r="PA23" s="65"/>
      <c r="PB23" s="65"/>
      <c r="PC23" s="65"/>
      <c r="PD23" s="65"/>
      <c r="PE23" s="65"/>
      <c r="PF23" s="65"/>
      <c r="PG23" s="65"/>
      <c r="PH23" s="65"/>
      <c r="PI23" s="65"/>
      <c r="PJ23" s="65"/>
      <c r="PK23" s="65"/>
      <c r="PL23" s="65"/>
      <c r="PM23" s="65"/>
      <c r="PN23" s="65"/>
      <c r="PO23" s="65"/>
      <c r="PP23" s="65"/>
      <c r="PQ23" s="65"/>
      <c r="PR23" s="65"/>
      <c r="PS23" s="65"/>
      <c r="PT23" s="65"/>
      <c r="PU23" s="65"/>
      <c r="PV23" s="65"/>
      <c r="PW23" s="65"/>
      <c r="PX23" s="65"/>
      <c r="PY23" s="65"/>
      <c r="PZ23" s="65"/>
      <c r="QA23" s="65"/>
      <c r="QB23" s="65"/>
      <c r="QC23" s="65"/>
      <c r="QD23" s="65"/>
      <c r="QE23" s="65"/>
      <c r="QF23" s="65"/>
      <c r="QG23" s="65"/>
      <c r="QH23" s="65"/>
      <c r="QI23" s="65"/>
      <c r="QJ23" s="65"/>
      <c r="QK23" s="65"/>
      <c r="QL23" s="65"/>
      <c r="QM23" s="65"/>
      <c r="QN23" s="65"/>
      <c r="QO23" s="65"/>
      <c r="QP23" s="65"/>
      <c r="QQ23" s="65"/>
      <c r="QR23" s="65"/>
      <c r="QS23" s="65"/>
      <c r="QT23" s="65"/>
      <c r="QU23" s="65"/>
      <c r="QV23" s="65"/>
      <c r="QW23" s="65"/>
      <c r="QX23" s="65"/>
      <c r="QY23" s="65"/>
      <c r="QZ23" s="65"/>
      <c r="RA23" s="65"/>
      <c r="RB23" s="65"/>
      <c r="RC23" s="65"/>
      <c r="RD23" s="65"/>
      <c r="RE23" s="65"/>
      <c r="RF23" s="65"/>
      <c r="RG23" s="65"/>
      <c r="RH23" s="65"/>
      <c r="RI23" s="65"/>
      <c r="RJ23" s="65"/>
      <c r="RK23" s="65"/>
      <c r="RL23" s="65"/>
      <c r="RM23" s="65"/>
      <c r="RN23" s="65"/>
      <c r="RO23" s="65"/>
      <c r="RP23" s="65"/>
      <c r="RQ23" s="65"/>
      <c r="RR23" s="65"/>
      <c r="RS23" s="65"/>
      <c r="RT23" s="65"/>
      <c r="RU23" s="65"/>
      <c r="RV23" s="65"/>
      <c r="RW23" s="65"/>
      <c r="RX23" s="65"/>
      <c r="RY23" s="65"/>
      <c r="RZ23" s="65"/>
      <c r="SA23" s="65"/>
      <c r="SB23" s="65"/>
      <c r="SC23" s="65"/>
      <c r="SD23" s="65"/>
      <c r="SE23" s="65"/>
      <c r="SF23" s="65"/>
      <c r="SG23" s="65"/>
      <c r="SH23" s="65"/>
      <c r="SI23" s="65"/>
      <c r="SJ23" s="65"/>
      <c r="SK23" s="65"/>
      <c r="SL23" s="65"/>
      <c r="SM23" s="65"/>
      <c r="SN23" s="65"/>
      <c r="SO23" s="65"/>
      <c r="SP23" s="65"/>
      <c r="SQ23" s="65"/>
      <c r="SR23" s="65"/>
      <c r="SS23" s="65"/>
      <c r="ST23" s="65"/>
      <c r="SU23" s="65"/>
      <c r="SV23" s="65"/>
      <c r="SW23" s="65"/>
      <c r="SX23" s="65"/>
      <c r="SY23" s="65"/>
      <c r="SZ23" s="65"/>
      <c r="TA23" s="65"/>
      <c r="TB23" s="65"/>
      <c r="TC23" s="65"/>
      <c r="TD23" s="65"/>
      <c r="TE23" s="65"/>
      <c r="TF23" s="65"/>
      <c r="TG23" s="65"/>
      <c r="TH23" s="65"/>
      <c r="TI23" s="65"/>
      <c r="TJ23" s="65"/>
      <c r="TK23" s="65"/>
      <c r="TL23" s="65"/>
      <c r="TM23" s="65"/>
      <c r="TN23" s="65"/>
      <c r="TO23" s="65"/>
      <c r="TP23" s="65"/>
      <c r="TQ23" s="65"/>
      <c r="TR23" s="65"/>
      <c r="TS23" s="65"/>
      <c r="TT23" s="65"/>
      <c r="TU23" s="65"/>
      <c r="TV23" s="65"/>
      <c r="TW23" s="65"/>
      <c r="TX23" s="65"/>
      <c r="TY23" s="65"/>
      <c r="TZ23" s="65"/>
      <c r="UA23" s="65"/>
      <c r="UB23" s="65"/>
      <c r="UC23" s="65"/>
      <c r="UD23" s="65"/>
      <c r="UE23" s="65"/>
      <c r="UF23" s="65"/>
      <c r="UG23" s="65"/>
      <c r="UH23" s="65"/>
      <c r="UI23" s="65"/>
      <c r="UJ23" s="65"/>
      <c r="UK23" s="65"/>
      <c r="UL23" s="65"/>
      <c r="UM23" s="65"/>
      <c r="UN23" s="65"/>
      <c r="UO23" s="65"/>
      <c r="UP23" s="65"/>
      <c r="UQ23" s="65"/>
      <c r="UR23" s="65"/>
      <c r="US23" s="65"/>
      <c r="UT23" s="65"/>
      <c r="UU23" s="65"/>
      <c r="UV23" s="65"/>
      <c r="UW23" s="65"/>
      <c r="UX23" s="65"/>
      <c r="UY23" s="65"/>
      <c r="UZ23" s="65"/>
      <c r="VA23" s="65"/>
      <c r="VB23" s="65"/>
      <c r="VC23" s="65"/>
      <c r="VD23" s="65"/>
      <c r="VE23" s="65"/>
      <c r="VF23" s="65"/>
      <c r="VG23" s="65"/>
      <c r="VH23" s="65"/>
      <c r="VI23" s="65"/>
      <c r="VJ23" s="65"/>
      <c r="VK23" s="65"/>
      <c r="VL23" s="65"/>
      <c r="VM23" s="65"/>
      <c r="VN23" s="65"/>
      <c r="VO23" s="65"/>
      <c r="VP23" s="65"/>
      <c r="VQ23" s="65"/>
      <c r="VR23" s="65"/>
      <c r="VS23" s="65"/>
      <c r="VT23" s="65"/>
      <c r="VU23" s="65"/>
      <c r="VV23" s="65"/>
      <c r="VW23" s="65"/>
      <c r="VX23" s="65"/>
      <c r="VY23" s="65"/>
      <c r="VZ23" s="65"/>
      <c r="WA23" s="65"/>
      <c r="WB23" s="65"/>
      <c r="WC23" s="65"/>
      <c r="WD23" s="65"/>
      <c r="WE23" s="65"/>
      <c r="WF23" s="65"/>
      <c r="WG23" s="65"/>
      <c r="WH23" s="65"/>
      <c r="WI23" s="65"/>
      <c r="WJ23" s="65"/>
      <c r="WK23" s="65"/>
      <c r="WL23" s="65"/>
      <c r="WM23" s="65"/>
      <c r="WN23" s="65"/>
      <c r="WO23" s="65"/>
      <c r="WP23" s="65"/>
      <c r="WQ23" s="65"/>
      <c r="WR23" s="65"/>
      <c r="WS23" s="65"/>
      <c r="WT23" s="65"/>
      <c r="WU23" s="65"/>
      <c r="WV23" s="65"/>
      <c r="WW23" s="65"/>
      <c r="WX23" s="65"/>
      <c r="WY23" s="65"/>
      <c r="WZ23" s="65"/>
      <c r="XA23" s="65"/>
      <c r="XB23" s="65"/>
      <c r="XC23" s="65"/>
      <c r="XD23" s="65"/>
      <c r="XE23" s="65"/>
      <c r="XF23" s="65"/>
      <c r="XG23" s="65"/>
      <c r="XH23" s="65"/>
      <c r="XI23" s="65"/>
      <c r="XJ23" s="65"/>
      <c r="XK23" s="65"/>
      <c r="XL23" s="65"/>
      <c r="XM23" s="65"/>
      <c r="XN23" s="65"/>
      <c r="XO23" s="65"/>
      <c r="XP23" s="65"/>
      <c r="XQ23" s="65"/>
      <c r="XR23" s="65"/>
      <c r="XS23" s="65"/>
      <c r="XT23" s="65"/>
      <c r="XU23" s="65"/>
      <c r="XV23" s="65"/>
      <c r="XW23" s="65"/>
      <c r="XX23" s="65"/>
      <c r="XY23" s="65"/>
      <c r="XZ23" s="65"/>
      <c r="YA23" s="65"/>
      <c r="YB23" s="65"/>
      <c r="YC23" s="65"/>
      <c r="YD23" s="65"/>
      <c r="YE23" s="65"/>
      <c r="YF23" s="65"/>
      <c r="YG23" s="65"/>
      <c r="YH23" s="65"/>
      <c r="YI23" s="65"/>
      <c r="YJ23" s="65"/>
      <c r="YK23" s="65"/>
      <c r="YL23" s="65"/>
      <c r="YM23" s="65"/>
      <c r="YN23" s="65"/>
      <c r="YO23" s="65"/>
      <c r="YP23" s="65"/>
      <c r="YQ23" s="65"/>
      <c r="YR23" s="65"/>
      <c r="YS23" s="65"/>
      <c r="YT23" s="65"/>
      <c r="YU23" s="65"/>
      <c r="YV23" s="65"/>
      <c r="YW23" s="65"/>
      <c r="YX23" s="65"/>
      <c r="YY23" s="65"/>
      <c r="YZ23" s="65"/>
    </row>
    <row r="24" spans="1:676" ht="20.5">
      <c r="A24" s="68"/>
      <c r="B24" s="218" t="s">
        <v>5</v>
      </c>
      <c r="C24" s="227">
        <f>C23-E24-D24</f>
        <v>11385.290799999999</v>
      </c>
      <c r="D24" s="227">
        <f>E7</f>
        <v>642.45000000000005</v>
      </c>
      <c r="E24" s="227">
        <f>E8</f>
        <v>554</v>
      </c>
      <c r="F24" s="223"/>
      <c r="G24" s="223"/>
      <c r="H24" s="223"/>
      <c r="I24" s="218" t="s">
        <v>5</v>
      </c>
      <c r="J24" s="227">
        <f>J23-K24</f>
        <v>1184.9334000000001</v>
      </c>
      <c r="K24" s="227">
        <f>J7</f>
        <v>247</v>
      </c>
      <c r="L24" s="223"/>
      <c r="M24" s="254"/>
      <c r="N24" s="64"/>
      <c r="O24" s="117"/>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c r="AQ24" s="65"/>
      <c r="AR24" s="65"/>
      <c r="AS24" s="65"/>
      <c r="AT24" s="65"/>
      <c r="AU24" s="65"/>
      <c r="AV24" s="65"/>
      <c r="AW24" s="65"/>
      <c r="AX24" s="65"/>
      <c r="AY24" s="65"/>
      <c r="AZ24" s="65"/>
      <c r="BA24" s="65"/>
      <c r="BB24" s="65"/>
      <c r="BC24" s="65"/>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65"/>
      <c r="CM24" s="65"/>
      <c r="CN24" s="65"/>
      <c r="CO24" s="65"/>
      <c r="CP24" s="65"/>
      <c r="CQ24" s="65"/>
      <c r="CR24" s="65"/>
      <c r="CS24" s="65"/>
      <c r="CT24" s="65"/>
      <c r="CU24" s="65"/>
      <c r="CV24" s="65"/>
      <c r="CW24" s="65"/>
      <c r="CX24" s="65"/>
      <c r="CY24" s="65"/>
      <c r="CZ24" s="65"/>
      <c r="DA24" s="65"/>
      <c r="DB24" s="65"/>
      <c r="DC24" s="65"/>
      <c r="DD24" s="65"/>
      <c r="DE24" s="65"/>
      <c r="DF24" s="65"/>
      <c r="DG24" s="65"/>
      <c r="DH24" s="65"/>
      <c r="DI24" s="65"/>
      <c r="DJ24" s="65"/>
      <c r="DK24" s="65"/>
      <c r="DL24" s="65"/>
      <c r="DM24" s="65"/>
      <c r="DN24" s="65"/>
      <c r="DO24" s="65"/>
      <c r="DP24" s="65"/>
      <c r="DQ24" s="65"/>
      <c r="DR24" s="65"/>
      <c r="DS24" s="65"/>
      <c r="DT24" s="65"/>
      <c r="DU24" s="65"/>
      <c r="DV24" s="65"/>
      <c r="DW24" s="65"/>
      <c r="DX24" s="65"/>
      <c r="DY24" s="65"/>
      <c r="DZ24" s="65"/>
      <c r="EA24" s="65"/>
      <c r="EB24" s="65"/>
      <c r="EC24" s="65"/>
      <c r="ED24" s="65"/>
      <c r="EE24" s="65"/>
      <c r="EF24" s="65"/>
      <c r="EG24" s="65"/>
      <c r="EH24" s="65"/>
      <c r="EI24" s="65"/>
      <c r="EJ24" s="65"/>
      <c r="EK24" s="65"/>
      <c r="EL24" s="65"/>
      <c r="EM24" s="65"/>
      <c r="EN24" s="65"/>
      <c r="EO24" s="65"/>
      <c r="EP24" s="65"/>
      <c r="EQ24" s="65"/>
      <c r="ER24" s="65"/>
      <c r="ES24" s="65"/>
      <c r="ET24" s="65"/>
      <c r="EU24" s="65"/>
      <c r="EV24" s="65"/>
      <c r="EW24" s="65"/>
      <c r="EX24" s="65"/>
      <c r="EY24" s="65"/>
      <c r="EZ24" s="65"/>
      <c r="FA24" s="65"/>
      <c r="FB24" s="65"/>
      <c r="FC24" s="65"/>
      <c r="FD24" s="65"/>
      <c r="FE24" s="65"/>
      <c r="FF24" s="65"/>
      <c r="FG24" s="65"/>
      <c r="FH24" s="65"/>
      <c r="FI24" s="65"/>
      <c r="FJ24" s="65"/>
      <c r="FK24" s="65"/>
      <c r="FL24" s="65"/>
      <c r="FM24" s="65"/>
      <c r="FN24" s="65"/>
      <c r="FO24" s="65"/>
      <c r="FP24" s="65"/>
      <c r="FQ24" s="65"/>
      <c r="FR24" s="65"/>
      <c r="FS24" s="65"/>
      <c r="FT24" s="65"/>
      <c r="FU24" s="65"/>
      <c r="FV24" s="65"/>
      <c r="FW24" s="65"/>
      <c r="FX24" s="65"/>
      <c r="FY24" s="65"/>
      <c r="FZ24" s="65"/>
      <c r="GA24" s="65"/>
      <c r="GB24" s="65"/>
      <c r="GC24" s="65"/>
      <c r="GD24" s="65"/>
      <c r="GE24" s="65"/>
      <c r="GF24" s="65"/>
      <c r="GG24" s="65"/>
      <c r="GH24" s="65"/>
      <c r="GI24" s="65"/>
      <c r="GJ24" s="65"/>
      <c r="GK24" s="65"/>
      <c r="GL24" s="65"/>
      <c r="GM24" s="65"/>
      <c r="GN24" s="65"/>
      <c r="GO24" s="65"/>
      <c r="GP24" s="65"/>
      <c r="GQ24" s="65"/>
      <c r="GR24" s="65"/>
      <c r="GS24" s="65"/>
      <c r="GT24" s="65"/>
      <c r="GU24" s="65"/>
      <c r="GV24" s="65"/>
      <c r="GW24" s="65"/>
      <c r="GX24" s="65"/>
      <c r="GY24" s="65"/>
      <c r="GZ24" s="65"/>
      <c r="HA24" s="65"/>
      <c r="HB24" s="65"/>
      <c r="HC24" s="65"/>
      <c r="HD24" s="65"/>
      <c r="HE24" s="65"/>
      <c r="HF24" s="65"/>
      <c r="HG24" s="65"/>
      <c r="HH24" s="65"/>
      <c r="HI24" s="65"/>
      <c r="HJ24" s="65"/>
      <c r="HK24" s="65"/>
      <c r="HL24" s="65"/>
      <c r="HM24" s="65"/>
      <c r="HN24" s="65"/>
      <c r="HO24" s="65"/>
      <c r="HP24" s="65"/>
      <c r="HQ24" s="65"/>
      <c r="HR24" s="65"/>
      <c r="HS24" s="65"/>
      <c r="HT24" s="65"/>
      <c r="HU24" s="65"/>
      <c r="HV24" s="65"/>
      <c r="HW24" s="65"/>
      <c r="HX24" s="65"/>
      <c r="HY24" s="65"/>
      <c r="HZ24" s="65"/>
      <c r="IA24" s="65"/>
      <c r="IB24" s="65"/>
      <c r="IC24" s="65"/>
      <c r="ID24" s="65"/>
      <c r="IE24" s="65"/>
      <c r="IF24" s="65"/>
      <c r="IG24" s="65"/>
      <c r="IH24" s="65"/>
      <c r="II24" s="65"/>
      <c r="IJ24" s="65"/>
      <c r="IK24" s="65"/>
      <c r="IL24" s="65"/>
      <c r="IM24" s="65"/>
      <c r="IN24" s="65"/>
      <c r="IO24" s="65"/>
      <c r="IP24" s="65"/>
      <c r="IQ24" s="65"/>
      <c r="IR24" s="65"/>
      <c r="IS24" s="65"/>
      <c r="IT24" s="65"/>
      <c r="IU24" s="65"/>
      <c r="IV24" s="65"/>
      <c r="IW24" s="65"/>
      <c r="IX24" s="65"/>
      <c r="IY24" s="65"/>
      <c r="IZ24" s="65"/>
      <c r="JA24" s="65"/>
      <c r="JB24" s="65"/>
      <c r="JC24" s="65"/>
      <c r="JD24" s="65"/>
      <c r="JE24" s="65"/>
      <c r="JF24" s="65"/>
      <c r="JG24" s="65"/>
      <c r="JH24" s="65"/>
      <c r="JI24" s="65"/>
      <c r="JJ24" s="65"/>
      <c r="JK24" s="65"/>
      <c r="JL24" s="65"/>
      <c r="JM24" s="65"/>
      <c r="JN24" s="65"/>
      <c r="JO24" s="65"/>
      <c r="JP24" s="65"/>
      <c r="JQ24" s="65"/>
      <c r="JR24" s="65"/>
      <c r="JS24" s="65"/>
      <c r="JT24" s="65"/>
      <c r="JU24" s="65"/>
      <c r="JV24" s="65"/>
      <c r="JW24" s="65"/>
      <c r="JX24" s="65"/>
      <c r="JY24" s="65"/>
      <c r="JZ24" s="65"/>
      <c r="KA24" s="65"/>
      <c r="KB24" s="65"/>
      <c r="KC24" s="65"/>
      <c r="KD24" s="65"/>
      <c r="KE24" s="65"/>
      <c r="KF24" s="65"/>
      <c r="KG24" s="65"/>
      <c r="KH24" s="65"/>
      <c r="KI24" s="65"/>
      <c r="KJ24" s="65"/>
      <c r="KK24" s="65"/>
      <c r="KL24" s="65"/>
      <c r="KM24" s="65"/>
      <c r="KN24" s="65"/>
      <c r="KO24" s="65"/>
      <c r="KP24" s="65"/>
      <c r="KQ24" s="65"/>
      <c r="KR24" s="65"/>
      <c r="KS24" s="65"/>
      <c r="KT24" s="65"/>
      <c r="KU24" s="65"/>
      <c r="KV24" s="65"/>
      <c r="KW24" s="65"/>
      <c r="KX24" s="65"/>
      <c r="KY24" s="65"/>
      <c r="KZ24" s="65"/>
      <c r="LA24" s="65"/>
      <c r="LB24" s="65"/>
      <c r="LC24" s="65"/>
      <c r="LD24" s="65"/>
      <c r="LE24" s="65"/>
      <c r="LF24" s="65"/>
      <c r="LG24" s="65"/>
      <c r="LH24" s="65"/>
      <c r="LI24" s="65"/>
      <c r="LJ24" s="65"/>
      <c r="LK24" s="65"/>
      <c r="LL24" s="65"/>
      <c r="LM24" s="65"/>
      <c r="LN24" s="65"/>
      <c r="LO24" s="65"/>
      <c r="LP24" s="65"/>
      <c r="LQ24" s="65"/>
      <c r="LR24" s="65"/>
      <c r="LS24" s="65"/>
      <c r="LT24" s="65"/>
      <c r="LU24" s="65"/>
      <c r="LV24" s="65"/>
      <c r="LW24" s="65"/>
      <c r="LX24" s="65"/>
      <c r="LY24" s="65"/>
      <c r="LZ24" s="65"/>
      <c r="MA24" s="65"/>
      <c r="MB24" s="65"/>
      <c r="MC24" s="65"/>
      <c r="MD24" s="65"/>
      <c r="ME24" s="65"/>
      <c r="MF24" s="65"/>
      <c r="MG24" s="65"/>
      <c r="MH24" s="65"/>
      <c r="MI24" s="65"/>
      <c r="MJ24" s="65"/>
      <c r="MK24" s="65"/>
      <c r="ML24" s="65"/>
      <c r="MM24" s="65"/>
      <c r="MN24" s="65"/>
      <c r="MO24" s="65"/>
      <c r="MP24" s="65"/>
      <c r="MQ24" s="65"/>
      <c r="MR24" s="65"/>
      <c r="MS24" s="65"/>
      <c r="MT24" s="65"/>
      <c r="MU24" s="65"/>
      <c r="MV24" s="65"/>
      <c r="MW24" s="65"/>
      <c r="MX24" s="65"/>
      <c r="MY24" s="65"/>
      <c r="MZ24" s="65"/>
      <c r="NA24" s="65"/>
      <c r="NB24" s="65"/>
      <c r="NC24" s="65"/>
      <c r="ND24" s="65"/>
      <c r="NE24" s="65"/>
      <c r="NF24" s="65"/>
      <c r="NG24" s="65"/>
      <c r="NH24" s="65"/>
      <c r="NI24" s="65"/>
      <c r="NJ24" s="65"/>
      <c r="NK24" s="65"/>
      <c r="NL24" s="65"/>
      <c r="NM24" s="65"/>
      <c r="NN24" s="65"/>
      <c r="NO24" s="65"/>
      <c r="NP24" s="65"/>
      <c r="NQ24" s="65"/>
      <c r="NR24" s="65"/>
      <c r="NS24" s="65"/>
      <c r="NT24" s="65"/>
      <c r="NU24" s="65"/>
      <c r="NV24" s="65"/>
      <c r="NW24" s="65"/>
      <c r="NX24" s="65"/>
      <c r="NY24" s="65"/>
      <c r="NZ24" s="65"/>
      <c r="OA24" s="65"/>
      <c r="OB24" s="65"/>
      <c r="OC24" s="65"/>
      <c r="OD24" s="65"/>
      <c r="OE24" s="65"/>
      <c r="OF24" s="65"/>
      <c r="OG24" s="65"/>
      <c r="OH24" s="65"/>
      <c r="OI24" s="65"/>
      <c r="OJ24" s="65"/>
      <c r="OK24" s="65"/>
      <c r="OL24" s="65"/>
      <c r="OM24" s="65"/>
      <c r="ON24" s="65"/>
      <c r="OO24" s="65"/>
      <c r="OP24" s="65"/>
      <c r="OQ24" s="65"/>
      <c r="OR24" s="65"/>
      <c r="OS24" s="65"/>
      <c r="OT24" s="65"/>
      <c r="OU24" s="65"/>
      <c r="OV24" s="65"/>
      <c r="OW24" s="65"/>
      <c r="OX24" s="65"/>
      <c r="OY24" s="65"/>
      <c r="OZ24" s="65"/>
      <c r="PA24" s="65"/>
      <c r="PB24" s="65"/>
      <c r="PC24" s="65"/>
      <c r="PD24" s="65"/>
      <c r="PE24" s="65"/>
      <c r="PF24" s="65"/>
      <c r="PG24" s="65"/>
      <c r="PH24" s="65"/>
      <c r="PI24" s="65"/>
      <c r="PJ24" s="65"/>
      <c r="PK24" s="65"/>
      <c r="PL24" s="65"/>
      <c r="PM24" s="65"/>
      <c r="PN24" s="65"/>
      <c r="PO24" s="65"/>
      <c r="PP24" s="65"/>
      <c r="PQ24" s="65"/>
      <c r="PR24" s="65"/>
      <c r="PS24" s="65"/>
      <c r="PT24" s="65"/>
      <c r="PU24" s="65"/>
      <c r="PV24" s="65"/>
      <c r="PW24" s="65"/>
      <c r="PX24" s="65"/>
      <c r="PY24" s="65"/>
      <c r="PZ24" s="65"/>
      <c r="QA24" s="65"/>
      <c r="QB24" s="65"/>
      <c r="QC24" s="65"/>
      <c r="QD24" s="65"/>
      <c r="QE24" s="65"/>
      <c r="QF24" s="65"/>
      <c r="QG24" s="65"/>
      <c r="QH24" s="65"/>
      <c r="QI24" s="65"/>
      <c r="QJ24" s="65"/>
      <c r="QK24" s="65"/>
      <c r="QL24" s="65"/>
      <c r="QM24" s="65"/>
      <c r="QN24" s="65"/>
      <c r="QO24" s="65"/>
      <c r="QP24" s="65"/>
      <c r="QQ24" s="65"/>
      <c r="QR24" s="65"/>
      <c r="QS24" s="65"/>
      <c r="QT24" s="65"/>
      <c r="QU24" s="65"/>
      <c r="QV24" s="65"/>
      <c r="QW24" s="65"/>
      <c r="QX24" s="65"/>
      <c r="QY24" s="65"/>
      <c r="QZ24" s="65"/>
      <c r="RA24" s="65"/>
      <c r="RB24" s="65"/>
      <c r="RC24" s="65"/>
      <c r="RD24" s="65"/>
      <c r="RE24" s="65"/>
      <c r="RF24" s="65"/>
      <c r="RG24" s="65"/>
      <c r="RH24" s="65"/>
      <c r="RI24" s="65"/>
      <c r="RJ24" s="65"/>
      <c r="RK24" s="65"/>
      <c r="RL24" s="65"/>
      <c r="RM24" s="65"/>
      <c r="RN24" s="65"/>
      <c r="RO24" s="65"/>
      <c r="RP24" s="65"/>
      <c r="RQ24" s="65"/>
      <c r="RR24" s="65"/>
      <c r="RS24" s="65"/>
      <c r="RT24" s="65"/>
      <c r="RU24" s="65"/>
      <c r="RV24" s="65"/>
      <c r="RW24" s="65"/>
      <c r="RX24" s="65"/>
      <c r="RY24" s="65"/>
      <c r="RZ24" s="65"/>
      <c r="SA24" s="65"/>
      <c r="SB24" s="65"/>
      <c r="SC24" s="65"/>
      <c r="SD24" s="65"/>
      <c r="SE24" s="65"/>
      <c r="SF24" s="65"/>
      <c r="SG24" s="65"/>
      <c r="SH24" s="65"/>
      <c r="SI24" s="65"/>
      <c r="SJ24" s="65"/>
      <c r="SK24" s="65"/>
      <c r="SL24" s="65"/>
      <c r="SM24" s="65"/>
      <c r="SN24" s="65"/>
      <c r="SO24" s="65"/>
      <c r="SP24" s="65"/>
      <c r="SQ24" s="65"/>
      <c r="SR24" s="65"/>
      <c r="SS24" s="65"/>
      <c r="ST24" s="65"/>
      <c r="SU24" s="65"/>
      <c r="SV24" s="65"/>
      <c r="SW24" s="65"/>
      <c r="SX24" s="65"/>
      <c r="SY24" s="65"/>
      <c r="SZ24" s="65"/>
      <c r="TA24" s="65"/>
      <c r="TB24" s="65"/>
      <c r="TC24" s="65"/>
      <c r="TD24" s="65"/>
      <c r="TE24" s="65"/>
      <c r="TF24" s="65"/>
      <c r="TG24" s="65"/>
      <c r="TH24" s="65"/>
      <c r="TI24" s="65"/>
      <c r="TJ24" s="65"/>
      <c r="TK24" s="65"/>
      <c r="TL24" s="65"/>
      <c r="TM24" s="65"/>
      <c r="TN24" s="65"/>
      <c r="TO24" s="65"/>
      <c r="TP24" s="65"/>
      <c r="TQ24" s="65"/>
      <c r="TR24" s="65"/>
      <c r="TS24" s="65"/>
      <c r="TT24" s="65"/>
      <c r="TU24" s="65"/>
      <c r="TV24" s="65"/>
      <c r="TW24" s="65"/>
      <c r="TX24" s="65"/>
      <c r="TY24" s="65"/>
      <c r="TZ24" s="65"/>
      <c r="UA24" s="65"/>
      <c r="UB24" s="65"/>
      <c r="UC24" s="65"/>
      <c r="UD24" s="65"/>
      <c r="UE24" s="65"/>
      <c r="UF24" s="65"/>
      <c r="UG24" s="65"/>
      <c r="UH24" s="65"/>
      <c r="UI24" s="65"/>
      <c r="UJ24" s="65"/>
      <c r="UK24" s="65"/>
      <c r="UL24" s="65"/>
      <c r="UM24" s="65"/>
      <c r="UN24" s="65"/>
      <c r="UO24" s="65"/>
      <c r="UP24" s="65"/>
      <c r="UQ24" s="65"/>
      <c r="UR24" s="65"/>
      <c r="US24" s="65"/>
      <c r="UT24" s="65"/>
      <c r="UU24" s="65"/>
      <c r="UV24" s="65"/>
      <c r="UW24" s="65"/>
      <c r="UX24" s="65"/>
      <c r="UY24" s="65"/>
      <c r="UZ24" s="65"/>
      <c r="VA24" s="65"/>
      <c r="VB24" s="65"/>
      <c r="VC24" s="65"/>
      <c r="VD24" s="65"/>
      <c r="VE24" s="65"/>
      <c r="VF24" s="65"/>
      <c r="VG24" s="65"/>
      <c r="VH24" s="65"/>
      <c r="VI24" s="65"/>
      <c r="VJ24" s="65"/>
      <c r="VK24" s="65"/>
      <c r="VL24" s="65"/>
      <c r="VM24" s="65"/>
      <c r="VN24" s="65"/>
      <c r="VO24" s="65"/>
      <c r="VP24" s="65"/>
      <c r="VQ24" s="65"/>
      <c r="VR24" s="65"/>
      <c r="VS24" s="65"/>
      <c r="VT24" s="65"/>
      <c r="VU24" s="65"/>
      <c r="VV24" s="65"/>
      <c r="VW24" s="65"/>
      <c r="VX24" s="65"/>
      <c r="VY24" s="65"/>
      <c r="VZ24" s="65"/>
      <c r="WA24" s="65"/>
      <c r="WB24" s="65"/>
      <c r="WC24" s="65"/>
      <c r="WD24" s="65"/>
      <c r="WE24" s="65"/>
      <c r="WF24" s="65"/>
      <c r="WG24" s="65"/>
      <c r="WH24" s="65"/>
      <c r="WI24" s="65"/>
      <c r="WJ24" s="65"/>
      <c r="WK24" s="65"/>
      <c r="WL24" s="65"/>
      <c r="WM24" s="65"/>
      <c r="WN24" s="65"/>
      <c r="WO24" s="65"/>
      <c r="WP24" s="65"/>
      <c r="WQ24" s="65"/>
      <c r="WR24" s="65"/>
      <c r="WS24" s="65"/>
      <c r="WT24" s="65"/>
      <c r="WU24" s="65"/>
      <c r="WV24" s="65"/>
      <c r="WW24" s="65"/>
      <c r="WX24" s="65"/>
      <c r="WY24" s="65"/>
      <c r="WZ24" s="65"/>
      <c r="XA24" s="65"/>
      <c r="XB24" s="65"/>
      <c r="XC24" s="65"/>
      <c r="XD24" s="65"/>
      <c r="XE24" s="65"/>
      <c r="XF24" s="65"/>
      <c r="XG24" s="65"/>
      <c r="XH24" s="65"/>
      <c r="XI24" s="65"/>
      <c r="XJ24" s="65"/>
      <c r="XK24" s="65"/>
      <c r="XL24" s="65"/>
      <c r="XM24" s="65"/>
      <c r="XN24" s="65"/>
      <c r="XO24" s="65"/>
      <c r="XP24" s="65"/>
      <c r="XQ24" s="65"/>
      <c r="XR24" s="65"/>
      <c r="XS24" s="65"/>
      <c r="XT24" s="65"/>
      <c r="XU24" s="65"/>
      <c r="XV24" s="65"/>
      <c r="XW24" s="65"/>
      <c r="XX24" s="65"/>
      <c r="XY24" s="65"/>
      <c r="XZ24" s="65"/>
      <c r="YA24" s="65"/>
      <c r="YB24" s="65"/>
      <c r="YC24" s="65"/>
      <c r="YD24" s="65"/>
      <c r="YE24" s="65"/>
      <c r="YF24" s="65"/>
      <c r="YG24" s="65"/>
      <c r="YH24" s="65"/>
      <c r="YI24" s="65"/>
      <c r="YJ24" s="65"/>
      <c r="YK24" s="65"/>
      <c r="YL24" s="65"/>
      <c r="YM24" s="65"/>
      <c r="YN24" s="65"/>
      <c r="YO24" s="65"/>
      <c r="YP24" s="65"/>
      <c r="YQ24" s="65"/>
      <c r="YR24" s="65"/>
      <c r="YS24" s="65"/>
      <c r="YT24" s="65"/>
      <c r="YU24" s="65"/>
      <c r="YV24" s="65"/>
      <c r="YW24" s="65"/>
      <c r="YX24" s="65"/>
      <c r="YY24" s="65"/>
      <c r="YZ24" s="65"/>
    </row>
    <row r="25" spans="1:676" ht="17.25" customHeight="1">
      <c r="A25" s="68"/>
      <c r="B25" s="253"/>
      <c r="C25" s="258"/>
      <c r="D25" s="258"/>
      <c r="E25" s="258"/>
      <c r="F25" s="223"/>
      <c r="G25" s="223"/>
      <c r="H25" s="223"/>
      <c r="I25" s="223"/>
      <c r="J25" s="223"/>
      <c r="K25" s="258"/>
      <c r="L25" s="223"/>
      <c r="M25" s="254"/>
      <c r="N25" s="64"/>
      <c r="O25" s="117"/>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c r="AZ25" s="65"/>
      <c r="BA25" s="65"/>
      <c r="BB25" s="65"/>
      <c r="BC25" s="65"/>
      <c r="BD25" s="65"/>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5"/>
      <c r="CK25" s="65"/>
      <c r="CL25" s="65"/>
      <c r="CM25" s="65"/>
      <c r="CN25" s="65"/>
      <c r="CO25" s="65"/>
      <c r="CP25" s="65"/>
      <c r="CQ25" s="65"/>
      <c r="CR25" s="65"/>
      <c r="CS25" s="65"/>
      <c r="CT25" s="65"/>
      <c r="CU25" s="65"/>
      <c r="CV25" s="65"/>
      <c r="CW25" s="65"/>
      <c r="CX25" s="65"/>
      <c r="CY25" s="65"/>
      <c r="CZ25" s="65"/>
      <c r="DA25" s="65"/>
      <c r="DB25" s="65"/>
      <c r="DC25" s="65"/>
      <c r="DD25" s="65"/>
      <c r="DE25" s="65"/>
      <c r="DF25" s="65"/>
      <c r="DG25" s="65"/>
      <c r="DH25" s="65"/>
      <c r="DI25" s="65"/>
      <c r="DJ25" s="65"/>
      <c r="DK25" s="65"/>
      <c r="DL25" s="65"/>
      <c r="DM25" s="65"/>
      <c r="DN25" s="65"/>
      <c r="DO25" s="65"/>
      <c r="DP25" s="65"/>
      <c r="DQ25" s="65"/>
      <c r="DR25" s="65"/>
      <c r="DS25" s="65"/>
      <c r="DT25" s="65"/>
      <c r="DU25" s="65"/>
      <c r="DV25" s="65"/>
      <c r="DW25" s="65"/>
      <c r="DX25" s="65"/>
      <c r="DY25" s="65"/>
      <c r="DZ25" s="65"/>
      <c r="EA25" s="65"/>
      <c r="EB25" s="65"/>
      <c r="EC25" s="65"/>
      <c r="ED25" s="65"/>
      <c r="EE25" s="65"/>
      <c r="EF25" s="65"/>
      <c r="EG25" s="65"/>
      <c r="EH25" s="65"/>
      <c r="EI25" s="65"/>
      <c r="EJ25" s="65"/>
      <c r="EK25" s="65"/>
      <c r="EL25" s="65"/>
      <c r="EM25" s="65"/>
      <c r="EN25" s="65"/>
      <c r="EO25" s="65"/>
      <c r="EP25" s="65"/>
      <c r="EQ25" s="65"/>
      <c r="ER25" s="65"/>
      <c r="ES25" s="65"/>
      <c r="ET25" s="65"/>
      <c r="EU25" s="65"/>
      <c r="EV25" s="65"/>
      <c r="EW25" s="65"/>
      <c r="EX25" s="65"/>
      <c r="EY25" s="65"/>
      <c r="EZ25" s="65"/>
      <c r="FA25" s="65"/>
      <c r="FB25" s="65"/>
      <c r="FC25" s="65"/>
      <c r="FD25" s="65"/>
      <c r="FE25" s="65"/>
      <c r="FF25" s="65"/>
      <c r="FG25" s="65"/>
      <c r="FH25" s="65"/>
      <c r="FI25" s="65"/>
      <c r="FJ25" s="65"/>
      <c r="FK25" s="65"/>
      <c r="FL25" s="65"/>
      <c r="FM25" s="65"/>
      <c r="FN25" s="65"/>
      <c r="FO25" s="65"/>
      <c r="FP25" s="65"/>
      <c r="FQ25" s="65"/>
      <c r="FR25" s="65"/>
      <c r="FS25" s="65"/>
      <c r="FT25" s="65"/>
      <c r="FU25" s="65"/>
      <c r="FV25" s="65"/>
      <c r="FW25" s="65"/>
      <c r="FX25" s="65"/>
      <c r="FY25" s="65"/>
      <c r="FZ25" s="65"/>
      <c r="GA25" s="65"/>
      <c r="GB25" s="65"/>
      <c r="GC25" s="65"/>
      <c r="GD25" s="65"/>
      <c r="GE25" s="65"/>
      <c r="GF25" s="65"/>
      <c r="GG25" s="65"/>
      <c r="GH25" s="65"/>
      <c r="GI25" s="65"/>
      <c r="GJ25" s="65"/>
      <c r="GK25" s="65"/>
      <c r="GL25" s="65"/>
      <c r="GM25" s="65"/>
      <c r="GN25" s="65"/>
      <c r="GO25" s="65"/>
      <c r="GP25" s="65"/>
      <c r="GQ25" s="65"/>
      <c r="GR25" s="65"/>
      <c r="GS25" s="65"/>
      <c r="GT25" s="65"/>
      <c r="GU25" s="65"/>
      <c r="GV25" s="65"/>
      <c r="GW25" s="65"/>
      <c r="GX25" s="65"/>
      <c r="GY25" s="65"/>
      <c r="GZ25" s="65"/>
      <c r="HA25" s="65"/>
      <c r="HB25" s="65"/>
      <c r="HC25" s="65"/>
      <c r="HD25" s="65"/>
      <c r="HE25" s="65"/>
      <c r="HF25" s="65"/>
      <c r="HG25" s="65"/>
      <c r="HH25" s="65"/>
      <c r="HI25" s="65"/>
      <c r="HJ25" s="65"/>
      <c r="HK25" s="65"/>
      <c r="HL25" s="65"/>
      <c r="HM25" s="65"/>
      <c r="HN25" s="65"/>
      <c r="HO25" s="65"/>
      <c r="HP25" s="65"/>
      <c r="HQ25" s="65"/>
      <c r="HR25" s="65"/>
      <c r="HS25" s="65"/>
      <c r="HT25" s="65"/>
      <c r="HU25" s="65"/>
      <c r="HV25" s="65"/>
      <c r="HW25" s="65"/>
      <c r="HX25" s="65"/>
      <c r="HY25" s="65"/>
      <c r="HZ25" s="65"/>
      <c r="IA25" s="65"/>
      <c r="IB25" s="65"/>
      <c r="IC25" s="65"/>
      <c r="ID25" s="65"/>
      <c r="IE25" s="65"/>
      <c r="IF25" s="65"/>
      <c r="IG25" s="65"/>
      <c r="IH25" s="65"/>
      <c r="II25" s="65"/>
      <c r="IJ25" s="65"/>
      <c r="IK25" s="65"/>
      <c r="IL25" s="65"/>
      <c r="IM25" s="65"/>
      <c r="IN25" s="65"/>
      <c r="IO25" s="65"/>
      <c r="IP25" s="65"/>
      <c r="IQ25" s="65"/>
      <c r="IR25" s="65"/>
      <c r="IS25" s="65"/>
      <c r="IT25" s="65"/>
      <c r="IU25" s="65"/>
      <c r="IV25" s="65"/>
      <c r="IW25" s="65"/>
      <c r="IX25" s="65"/>
      <c r="IY25" s="65"/>
      <c r="IZ25" s="65"/>
      <c r="JA25" s="65"/>
      <c r="JB25" s="65"/>
      <c r="JC25" s="65"/>
      <c r="JD25" s="65"/>
      <c r="JE25" s="65"/>
      <c r="JF25" s="65"/>
      <c r="JG25" s="65"/>
      <c r="JH25" s="65"/>
      <c r="JI25" s="65"/>
      <c r="JJ25" s="65"/>
      <c r="JK25" s="65"/>
      <c r="JL25" s="65"/>
      <c r="JM25" s="65"/>
      <c r="JN25" s="65"/>
      <c r="JO25" s="65"/>
      <c r="JP25" s="65"/>
      <c r="JQ25" s="65"/>
      <c r="JR25" s="65"/>
      <c r="JS25" s="65"/>
      <c r="JT25" s="65"/>
      <c r="JU25" s="65"/>
      <c r="JV25" s="65"/>
      <c r="JW25" s="65"/>
      <c r="JX25" s="65"/>
      <c r="JY25" s="65"/>
      <c r="JZ25" s="65"/>
      <c r="KA25" s="65"/>
      <c r="KB25" s="65"/>
      <c r="KC25" s="65"/>
      <c r="KD25" s="65"/>
      <c r="KE25" s="65"/>
      <c r="KF25" s="65"/>
      <c r="KG25" s="65"/>
      <c r="KH25" s="65"/>
      <c r="KI25" s="65"/>
      <c r="KJ25" s="65"/>
      <c r="KK25" s="65"/>
      <c r="KL25" s="65"/>
      <c r="KM25" s="65"/>
      <c r="KN25" s="65"/>
      <c r="KO25" s="65"/>
      <c r="KP25" s="65"/>
      <c r="KQ25" s="65"/>
      <c r="KR25" s="65"/>
      <c r="KS25" s="65"/>
      <c r="KT25" s="65"/>
      <c r="KU25" s="65"/>
      <c r="KV25" s="65"/>
      <c r="KW25" s="65"/>
      <c r="KX25" s="65"/>
      <c r="KY25" s="65"/>
      <c r="KZ25" s="65"/>
      <c r="LA25" s="65"/>
      <c r="LB25" s="65"/>
      <c r="LC25" s="65"/>
      <c r="LD25" s="65"/>
      <c r="LE25" s="65"/>
      <c r="LF25" s="65"/>
      <c r="LG25" s="65"/>
      <c r="LH25" s="65"/>
      <c r="LI25" s="65"/>
      <c r="LJ25" s="65"/>
      <c r="LK25" s="65"/>
      <c r="LL25" s="65"/>
      <c r="LM25" s="65"/>
      <c r="LN25" s="65"/>
      <c r="LO25" s="65"/>
      <c r="LP25" s="65"/>
      <c r="LQ25" s="65"/>
      <c r="LR25" s="65"/>
      <c r="LS25" s="65"/>
      <c r="LT25" s="65"/>
      <c r="LU25" s="65"/>
      <c r="LV25" s="65"/>
      <c r="LW25" s="65"/>
      <c r="LX25" s="65"/>
      <c r="LY25" s="65"/>
      <c r="LZ25" s="65"/>
      <c r="MA25" s="65"/>
      <c r="MB25" s="65"/>
      <c r="MC25" s="65"/>
      <c r="MD25" s="65"/>
      <c r="ME25" s="65"/>
      <c r="MF25" s="65"/>
      <c r="MG25" s="65"/>
      <c r="MH25" s="65"/>
      <c r="MI25" s="65"/>
      <c r="MJ25" s="65"/>
      <c r="MK25" s="65"/>
      <c r="ML25" s="65"/>
      <c r="MM25" s="65"/>
      <c r="MN25" s="65"/>
      <c r="MO25" s="65"/>
      <c r="MP25" s="65"/>
      <c r="MQ25" s="65"/>
      <c r="MR25" s="65"/>
      <c r="MS25" s="65"/>
      <c r="MT25" s="65"/>
      <c r="MU25" s="65"/>
      <c r="MV25" s="65"/>
      <c r="MW25" s="65"/>
      <c r="MX25" s="65"/>
      <c r="MY25" s="65"/>
      <c r="MZ25" s="65"/>
      <c r="NA25" s="65"/>
      <c r="NB25" s="65"/>
      <c r="NC25" s="65"/>
      <c r="ND25" s="65"/>
      <c r="NE25" s="65"/>
      <c r="NF25" s="65"/>
      <c r="NG25" s="65"/>
      <c r="NH25" s="65"/>
      <c r="NI25" s="65"/>
      <c r="NJ25" s="65"/>
      <c r="NK25" s="65"/>
      <c r="NL25" s="65"/>
      <c r="NM25" s="65"/>
      <c r="NN25" s="65"/>
      <c r="NO25" s="65"/>
      <c r="NP25" s="65"/>
      <c r="NQ25" s="65"/>
      <c r="NR25" s="65"/>
      <c r="NS25" s="65"/>
      <c r="NT25" s="65"/>
      <c r="NU25" s="65"/>
      <c r="NV25" s="65"/>
      <c r="NW25" s="65"/>
      <c r="NX25" s="65"/>
      <c r="NY25" s="65"/>
      <c r="NZ25" s="65"/>
      <c r="OA25" s="65"/>
      <c r="OB25" s="65"/>
      <c r="OC25" s="65"/>
      <c r="OD25" s="65"/>
      <c r="OE25" s="65"/>
      <c r="OF25" s="65"/>
      <c r="OG25" s="65"/>
      <c r="OH25" s="65"/>
      <c r="OI25" s="65"/>
      <c r="OJ25" s="65"/>
      <c r="OK25" s="65"/>
      <c r="OL25" s="65"/>
      <c r="OM25" s="65"/>
      <c r="ON25" s="65"/>
      <c r="OO25" s="65"/>
      <c r="OP25" s="65"/>
      <c r="OQ25" s="65"/>
      <c r="OR25" s="65"/>
      <c r="OS25" s="65"/>
      <c r="OT25" s="65"/>
      <c r="OU25" s="65"/>
      <c r="OV25" s="65"/>
      <c r="OW25" s="65"/>
      <c r="OX25" s="65"/>
      <c r="OY25" s="65"/>
      <c r="OZ25" s="65"/>
      <c r="PA25" s="65"/>
      <c r="PB25" s="65"/>
      <c r="PC25" s="65"/>
      <c r="PD25" s="65"/>
      <c r="PE25" s="65"/>
      <c r="PF25" s="65"/>
      <c r="PG25" s="65"/>
      <c r="PH25" s="65"/>
      <c r="PI25" s="65"/>
      <c r="PJ25" s="65"/>
      <c r="PK25" s="65"/>
      <c r="PL25" s="65"/>
      <c r="PM25" s="65"/>
      <c r="PN25" s="65"/>
      <c r="PO25" s="65"/>
      <c r="PP25" s="65"/>
      <c r="PQ25" s="65"/>
      <c r="PR25" s="65"/>
      <c r="PS25" s="65"/>
      <c r="PT25" s="65"/>
      <c r="PU25" s="65"/>
      <c r="PV25" s="65"/>
      <c r="PW25" s="65"/>
      <c r="PX25" s="65"/>
      <c r="PY25" s="65"/>
      <c r="PZ25" s="65"/>
      <c r="QA25" s="65"/>
      <c r="QB25" s="65"/>
      <c r="QC25" s="65"/>
      <c r="QD25" s="65"/>
      <c r="QE25" s="65"/>
      <c r="QF25" s="65"/>
      <c r="QG25" s="65"/>
      <c r="QH25" s="65"/>
      <c r="QI25" s="65"/>
      <c r="QJ25" s="65"/>
      <c r="QK25" s="65"/>
      <c r="QL25" s="65"/>
      <c r="QM25" s="65"/>
      <c r="QN25" s="65"/>
      <c r="QO25" s="65"/>
      <c r="QP25" s="65"/>
      <c r="QQ25" s="65"/>
      <c r="QR25" s="65"/>
      <c r="QS25" s="65"/>
      <c r="QT25" s="65"/>
      <c r="QU25" s="65"/>
      <c r="QV25" s="65"/>
      <c r="QW25" s="65"/>
      <c r="QX25" s="65"/>
      <c r="QY25" s="65"/>
      <c r="QZ25" s="65"/>
      <c r="RA25" s="65"/>
      <c r="RB25" s="65"/>
      <c r="RC25" s="65"/>
      <c r="RD25" s="65"/>
      <c r="RE25" s="65"/>
      <c r="RF25" s="65"/>
      <c r="RG25" s="65"/>
      <c r="RH25" s="65"/>
      <c r="RI25" s="65"/>
      <c r="RJ25" s="65"/>
      <c r="RK25" s="65"/>
      <c r="RL25" s="65"/>
      <c r="RM25" s="65"/>
      <c r="RN25" s="65"/>
      <c r="RO25" s="65"/>
      <c r="RP25" s="65"/>
      <c r="RQ25" s="65"/>
      <c r="RR25" s="65"/>
      <c r="RS25" s="65"/>
      <c r="RT25" s="65"/>
      <c r="RU25" s="65"/>
      <c r="RV25" s="65"/>
      <c r="RW25" s="65"/>
      <c r="RX25" s="65"/>
      <c r="RY25" s="65"/>
      <c r="RZ25" s="65"/>
      <c r="SA25" s="65"/>
      <c r="SB25" s="65"/>
      <c r="SC25" s="65"/>
      <c r="SD25" s="65"/>
      <c r="SE25" s="65"/>
      <c r="SF25" s="65"/>
      <c r="SG25" s="65"/>
      <c r="SH25" s="65"/>
      <c r="SI25" s="65"/>
      <c r="SJ25" s="65"/>
      <c r="SK25" s="65"/>
      <c r="SL25" s="65"/>
      <c r="SM25" s="65"/>
      <c r="SN25" s="65"/>
      <c r="SO25" s="65"/>
      <c r="SP25" s="65"/>
      <c r="SQ25" s="65"/>
      <c r="SR25" s="65"/>
      <c r="SS25" s="65"/>
      <c r="ST25" s="65"/>
      <c r="SU25" s="65"/>
      <c r="SV25" s="65"/>
      <c r="SW25" s="65"/>
      <c r="SX25" s="65"/>
      <c r="SY25" s="65"/>
      <c r="SZ25" s="65"/>
      <c r="TA25" s="65"/>
      <c r="TB25" s="65"/>
      <c r="TC25" s="65"/>
      <c r="TD25" s="65"/>
      <c r="TE25" s="65"/>
      <c r="TF25" s="65"/>
      <c r="TG25" s="65"/>
      <c r="TH25" s="65"/>
      <c r="TI25" s="65"/>
      <c r="TJ25" s="65"/>
      <c r="TK25" s="65"/>
      <c r="TL25" s="65"/>
      <c r="TM25" s="65"/>
      <c r="TN25" s="65"/>
      <c r="TO25" s="65"/>
      <c r="TP25" s="65"/>
      <c r="TQ25" s="65"/>
      <c r="TR25" s="65"/>
      <c r="TS25" s="65"/>
      <c r="TT25" s="65"/>
      <c r="TU25" s="65"/>
      <c r="TV25" s="65"/>
      <c r="TW25" s="65"/>
      <c r="TX25" s="65"/>
      <c r="TY25" s="65"/>
      <c r="TZ25" s="65"/>
      <c r="UA25" s="65"/>
      <c r="UB25" s="65"/>
      <c r="UC25" s="65"/>
      <c r="UD25" s="65"/>
      <c r="UE25" s="65"/>
      <c r="UF25" s="65"/>
      <c r="UG25" s="65"/>
      <c r="UH25" s="65"/>
      <c r="UI25" s="65"/>
      <c r="UJ25" s="65"/>
      <c r="UK25" s="65"/>
      <c r="UL25" s="65"/>
      <c r="UM25" s="65"/>
      <c r="UN25" s="65"/>
      <c r="UO25" s="65"/>
      <c r="UP25" s="65"/>
      <c r="UQ25" s="65"/>
      <c r="UR25" s="65"/>
      <c r="US25" s="65"/>
      <c r="UT25" s="65"/>
      <c r="UU25" s="65"/>
      <c r="UV25" s="65"/>
      <c r="UW25" s="65"/>
      <c r="UX25" s="65"/>
      <c r="UY25" s="65"/>
      <c r="UZ25" s="65"/>
      <c r="VA25" s="65"/>
      <c r="VB25" s="65"/>
      <c r="VC25" s="65"/>
      <c r="VD25" s="65"/>
      <c r="VE25" s="65"/>
      <c r="VF25" s="65"/>
      <c r="VG25" s="65"/>
      <c r="VH25" s="65"/>
      <c r="VI25" s="65"/>
      <c r="VJ25" s="65"/>
      <c r="VK25" s="65"/>
      <c r="VL25" s="65"/>
      <c r="VM25" s="65"/>
      <c r="VN25" s="65"/>
      <c r="VO25" s="65"/>
      <c r="VP25" s="65"/>
      <c r="VQ25" s="65"/>
      <c r="VR25" s="65"/>
      <c r="VS25" s="65"/>
      <c r="VT25" s="65"/>
      <c r="VU25" s="65"/>
      <c r="VV25" s="65"/>
      <c r="VW25" s="65"/>
      <c r="VX25" s="65"/>
      <c r="VY25" s="65"/>
      <c r="VZ25" s="65"/>
      <c r="WA25" s="65"/>
      <c r="WB25" s="65"/>
      <c r="WC25" s="65"/>
      <c r="WD25" s="65"/>
      <c r="WE25" s="65"/>
      <c r="WF25" s="65"/>
      <c r="WG25" s="65"/>
      <c r="WH25" s="65"/>
      <c r="WI25" s="65"/>
      <c r="WJ25" s="65"/>
      <c r="WK25" s="65"/>
      <c r="WL25" s="65"/>
      <c r="WM25" s="65"/>
      <c r="WN25" s="65"/>
      <c r="WO25" s="65"/>
      <c r="WP25" s="65"/>
      <c r="WQ25" s="65"/>
      <c r="WR25" s="65"/>
      <c r="WS25" s="65"/>
      <c r="WT25" s="65"/>
      <c r="WU25" s="65"/>
      <c r="WV25" s="65"/>
      <c r="WW25" s="65"/>
      <c r="WX25" s="65"/>
      <c r="WY25" s="65"/>
      <c r="WZ25" s="65"/>
      <c r="XA25" s="65"/>
      <c r="XB25" s="65"/>
      <c r="XC25" s="65"/>
      <c r="XD25" s="65"/>
      <c r="XE25" s="65"/>
      <c r="XF25" s="65"/>
      <c r="XG25" s="65"/>
      <c r="XH25" s="65"/>
      <c r="XI25" s="65"/>
      <c r="XJ25" s="65"/>
      <c r="XK25" s="65"/>
      <c r="XL25" s="65"/>
      <c r="XM25" s="65"/>
      <c r="XN25" s="65"/>
      <c r="XO25" s="65"/>
      <c r="XP25" s="65"/>
      <c r="XQ25" s="65"/>
      <c r="XR25" s="65"/>
      <c r="XS25" s="65"/>
      <c r="XT25" s="65"/>
      <c r="XU25" s="65"/>
      <c r="XV25" s="65"/>
      <c r="XW25" s="65"/>
      <c r="XX25" s="65"/>
      <c r="XY25" s="65"/>
      <c r="XZ25" s="65"/>
      <c r="YA25" s="65"/>
      <c r="YB25" s="65"/>
      <c r="YC25" s="65"/>
      <c r="YD25" s="65"/>
      <c r="YE25" s="65"/>
      <c r="YF25" s="65"/>
      <c r="YG25" s="65"/>
      <c r="YH25" s="65"/>
      <c r="YI25" s="65"/>
      <c r="YJ25" s="65"/>
      <c r="YK25" s="65"/>
      <c r="YL25" s="65"/>
      <c r="YM25" s="65"/>
      <c r="YN25" s="65"/>
      <c r="YO25" s="65"/>
      <c r="YP25" s="65"/>
      <c r="YQ25" s="65"/>
      <c r="YR25" s="65"/>
      <c r="YS25" s="65"/>
      <c r="YT25" s="65"/>
      <c r="YU25" s="65"/>
      <c r="YV25" s="65"/>
      <c r="YW25" s="65"/>
      <c r="YX25" s="65"/>
      <c r="YY25" s="65"/>
      <c r="YZ25" s="65"/>
    </row>
    <row r="26" spans="1:676" ht="20.5">
      <c r="A26" s="68"/>
      <c r="B26" s="86" t="s">
        <v>106</v>
      </c>
      <c r="C26" s="87"/>
      <c r="D26" s="87"/>
      <c r="E26" s="88"/>
      <c r="F26" s="89" t="s">
        <v>9</v>
      </c>
      <c r="G26" s="223"/>
      <c r="H26" s="223"/>
      <c r="I26" s="86" t="s">
        <v>106</v>
      </c>
      <c r="J26" s="87"/>
      <c r="K26" s="87"/>
      <c r="L26" s="89" t="s">
        <v>9</v>
      </c>
      <c r="M26" s="254"/>
      <c r="N26" s="64"/>
      <c r="O26" s="117"/>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65"/>
      <c r="CJ26" s="65"/>
      <c r="CK26" s="65"/>
      <c r="CL26" s="65"/>
      <c r="CM26" s="65"/>
      <c r="CN26" s="65"/>
      <c r="CO26" s="65"/>
      <c r="CP26" s="65"/>
      <c r="CQ26" s="65"/>
      <c r="CR26" s="65"/>
      <c r="CS26" s="65"/>
      <c r="CT26" s="65"/>
      <c r="CU26" s="65"/>
      <c r="CV26" s="65"/>
      <c r="CW26" s="65"/>
      <c r="CX26" s="65"/>
      <c r="CY26" s="65"/>
      <c r="CZ26" s="65"/>
      <c r="DA26" s="65"/>
      <c r="DB26" s="65"/>
      <c r="DC26" s="65"/>
      <c r="DD26" s="65"/>
      <c r="DE26" s="65"/>
      <c r="DF26" s="65"/>
      <c r="DG26" s="65"/>
      <c r="DH26" s="65"/>
      <c r="DI26" s="65"/>
      <c r="DJ26" s="65"/>
      <c r="DK26" s="65"/>
      <c r="DL26" s="65"/>
      <c r="DM26" s="65"/>
      <c r="DN26" s="65"/>
      <c r="DO26" s="65"/>
      <c r="DP26" s="65"/>
      <c r="DQ26" s="65"/>
      <c r="DR26" s="65"/>
      <c r="DS26" s="65"/>
      <c r="DT26" s="65"/>
      <c r="DU26" s="65"/>
      <c r="DV26" s="65"/>
      <c r="DW26" s="65"/>
      <c r="DX26" s="65"/>
      <c r="DY26" s="65"/>
      <c r="DZ26" s="65"/>
      <c r="EA26" s="65"/>
      <c r="EB26" s="65"/>
      <c r="EC26" s="65"/>
      <c r="ED26" s="65"/>
      <c r="EE26" s="65"/>
      <c r="EF26" s="65"/>
      <c r="EG26" s="65"/>
      <c r="EH26" s="65"/>
      <c r="EI26" s="65"/>
      <c r="EJ26" s="65"/>
      <c r="EK26" s="65"/>
      <c r="EL26" s="65"/>
      <c r="EM26" s="65"/>
      <c r="EN26" s="65"/>
      <c r="EO26" s="65"/>
      <c r="EP26" s="65"/>
      <c r="EQ26" s="65"/>
      <c r="ER26" s="65"/>
      <c r="ES26" s="65"/>
      <c r="ET26" s="65"/>
      <c r="EU26" s="65"/>
      <c r="EV26" s="65"/>
      <c r="EW26" s="65"/>
      <c r="EX26" s="65"/>
      <c r="EY26" s="65"/>
      <c r="EZ26" s="65"/>
      <c r="FA26" s="65"/>
      <c r="FB26" s="65"/>
      <c r="FC26" s="65"/>
      <c r="FD26" s="65"/>
      <c r="FE26" s="65"/>
      <c r="FF26" s="65"/>
      <c r="FG26" s="65"/>
      <c r="FH26" s="65"/>
      <c r="FI26" s="65"/>
      <c r="FJ26" s="65"/>
      <c r="FK26" s="65"/>
      <c r="FL26" s="65"/>
      <c r="FM26" s="65"/>
      <c r="FN26" s="65"/>
      <c r="FO26" s="65"/>
      <c r="FP26" s="65"/>
      <c r="FQ26" s="65"/>
      <c r="FR26" s="65"/>
      <c r="FS26" s="65"/>
      <c r="FT26" s="65"/>
      <c r="FU26" s="65"/>
      <c r="FV26" s="65"/>
      <c r="FW26" s="65"/>
      <c r="FX26" s="65"/>
      <c r="FY26" s="65"/>
      <c r="FZ26" s="65"/>
      <c r="GA26" s="65"/>
      <c r="GB26" s="65"/>
      <c r="GC26" s="65"/>
      <c r="GD26" s="65"/>
      <c r="GE26" s="65"/>
      <c r="GF26" s="65"/>
      <c r="GG26" s="65"/>
      <c r="GH26" s="65"/>
      <c r="GI26" s="65"/>
      <c r="GJ26" s="65"/>
      <c r="GK26" s="65"/>
      <c r="GL26" s="65"/>
      <c r="GM26" s="65"/>
      <c r="GN26" s="65"/>
      <c r="GO26" s="65"/>
      <c r="GP26" s="65"/>
      <c r="GQ26" s="65"/>
      <c r="GR26" s="65"/>
      <c r="GS26" s="65"/>
      <c r="GT26" s="65"/>
      <c r="GU26" s="65"/>
      <c r="GV26" s="65"/>
      <c r="GW26" s="65"/>
      <c r="GX26" s="65"/>
      <c r="GY26" s="65"/>
      <c r="GZ26" s="65"/>
      <c r="HA26" s="65"/>
      <c r="HB26" s="65"/>
      <c r="HC26" s="65"/>
      <c r="HD26" s="65"/>
      <c r="HE26" s="65"/>
      <c r="HF26" s="65"/>
      <c r="HG26" s="65"/>
      <c r="HH26" s="65"/>
      <c r="HI26" s="65"/>
      <c r="HJ26" s="65"/>
      <c r="HK26" s="65"/>
      <c r="HL26" s="65"/>
      <c r="HM26" s="65"/>
      <c r="HN26" s="65"/>
      <c r="HO26" s="65"/>
      <c r="HP26" s="65"/>
      <c r="HQ26" s="65"/>
      <c r="HR26" s="65"/>
      <c r="HS26" s="65"/>
      <c r="HT26" s="65"/>
      <c r="HU26" s="65"/>
      <c r="HV26" s="65"/>
      <c r="HW26" s="65"/>
      <c r="HX26" s="65"/>
      <c r="HY26" s="65"/>
      <c r="HZ26" s="65"/>
      <c r="IA26" s="65"/>
      <c r="IB26" s="65"/>
      <c r="IC26" s="65"/>
      <c r="ID26" s="65"/>
      <c r="IE26" s="65"/>
      <c r="IF26" s="65"/>
      <c r="IG26" s="65"/>
      <c r="IH26" s="65"/>
      <c r="II26" s="65"/>
      <c r="IJ26" s="65"/>
      <c r="IK26" s="65"/>
      <c r="IL26" s="65"/>
      <c r="IM26" s="65"/>
      <c r="IN26" s="65"/>
      <c r="IO26" s="65"/>
      <c r="IP26" s="65"/>
      <c r="IQ26" s="65"/>
      <c r="IR26" s="65"/>
      <c r="IS26" s="65"/>
      <c r="IT26" s="65"/>
      <c r="IU26" s="65"/>
      <c r="IV26" s="65"/>
      <c r="IW26" s="65"/>
      <c r="IX26" s="65"/>
      <c r="IY26" s="65"/>
      <c r="IZ26" s="65"/>
      <c r="JA26" s="65"/>
      <c r="JB26" s="65"/>
      <c r="JC26" s="65"/>
      <c r="JD26" s="65"/>
      <c r="JE26" s="65"/>
      <c r="JF26" s="65"/>
      <c r="JG26" s="65"/>
      <c r="JH26" s="65"/>
      <c r="JI26" s="65"/>
      <c r="JJ26" s="65"/>
      <c r="JK26" s="65"/>
      <c r="JL26" s="65"/>
      <c r="JM26" s="65"/>
      <c r="JN26" s="65"/>
      <c r="JO26" s="65"/>
      <c r="JP26" s="65"/>
      <c r="JQ26" s="65"/>
      <c r="JR26" s="65"/>
      <c r="JS26" s="65"/>
      <c r="JT26" s="65"/>
      <c r="JU26" s="65"/>
      <c r="JV26" s="65"/>
      <c r="JW26" s="65"/>
      <c r="JX26" s="65"/>
      <c r="JY26" s="65"/>
      <c r="JZ26" s="65"/>
      <c r="KA26" s="65"/>
      <c r="KB26" s="65"/>
      <c r="KC26" s="65"/>
      <c r="KD26" s="65"/>
      <c r="KE26" s="65"/>
      <c r="KF26" s="65"/>
      <c r="KG26" s="65"/>
      <c r="KH26" s="65"/>
      <c r="KI26" s="65"/>
      <c r="KJ26" s="65"/>
      <c r="KK26" s="65"/>
      <c r="KL26" s="65"/>
      <c r="KM26" s="65"/>
      <c r="KN26" s="65"/>
      <c r="KO26" s="65"/>
      <c r="KP26" s="65"/>
      <c r="KQ26" s="65"/>
      <c r="KR26" s="65"/>
      <c r="KS26" s="65"/>
      <c r="KT26" s="65"/>
      <c r="KU26" s="65"/>
      <c r="KV26" s="65"/>
      <c r="KW26" s="65"/>
      <c r="KX26" s="65"/>
      <c r="KY26" s="65"/>
      <c r="KZ26" s="65"/>
      <c r="LA26" s="65"/>
      <c r="LB26" s="65"/>
      <c r="LC26" s="65"/>
      <c r="LD26" s="65"/>
      <c r="LE26" s="65"/>
      <c r="LF26" s="65"/>
      <c r="LG26" s="65"/>
      <c r="LH26" s="65"/>
      <c r="LI26" s="65"/>
      <c r="LJ26" s="65"/>
      <c r="LK26" s="65"/>
      <c r="LL26" s="65"/>
      <c r="LM26" s="65"/>
      <c r="LN26" s="65"/>
      <c r="LO26" s="65"/>
      <c r="LP26" s="65"/>
      <c r="LQ26" s="65"/>
      <c r="LR26" s="65"/>
      <c r="LS26" s="65"/>
      <c r="LT26" s="65"/>
      <c r="LU26" s="65"/>
      <c r="LV26" s="65"/>
      <c r="LW26" s="65"/>
      <c r="LX26" s="65"/>
      <c r="LY26" s="65"/>
      <c r="LZ26" s="65"/>
      <c r="MA26" s="65"/>
      <c r="MB26" s="65"/>
      <c r="MC26" s="65"/>
      <c r="MD26" s="65"/>
      <c r="ME26" s="65"/>
      <c r="MF26" s="65"/>
      <c r="MG26" s="65"/>
      <c r="MH26" s="65"/>
      <c r="MI26" s="65"/>
      <c r="MJ26" s="65"/>
      <c r="MK26" s="65"/>
      <c r="ML26" s="65"/>
      <c r="MM26" s="65"/>
      <c r="MN26" s="65"/>
      <c r="MO26" s="65"/>
      <c r="MP26" s="65"/>
      <c r="MQ26" s="65"/>
      <c r="MR26" s="65"/>
      <c r="MS26" s="65"/>
      <c r="MT26" s="65"/>
      <c r="MU26" s="65"/>
      <c r="MV26" s="65"/>
      <c r="MW26" s="65"/>
      <c r="MX26" s="65"/>
      <c r="MY26" s="65"/>
      <c r="MZ26" s="65"/>
      <c r="NA26" s="65"/>
      <c r="NB26" s="65"/>
      <c r="NC26" s="65"/>
      <c r="ND26" s="65"/>
      <c r="NE26" s="65"/>
      <c r="NF26" s="65"/>
      <c r="NG26" s="65"/>
      <c r="NH26" s="65"/>
      <c r="NI26" s="65"/>
      <c r="NJ26" s="65"/>
      <c r="NK26" s="65"/>
      <c r="NL26" s="65"/>
      <c r="NM26" s="65"/>
      <c r="NN26" s="65"/>
      <c r="NO26" s="65"/>
      <c r="NP26" s="65"/>
      <c r="NQ26" s="65"/>
      <c r="NR26" s="65"/>
      <c r="NS26" s="65"/>
      <c r="NT26" s="65"/>
      <c r="NU26" s="65"/>
      <c r="NV26" s="65"/>
      <c r="NW26" s="65"/>
      <c r="NX26" s="65"/>
      <c r="NY26" s="65"/>
      <c r="NZ26" s="65"/>
      <c r="OA26" s="65"/>
      <c r="OB26" s="65"/>
      <c r="OC26" s="65"/>
      <c r="OD26" s="65"/>
      <c r="OE26" s="65"/>
      <c r="OF26" s="65"/>
      <c r="OG26" s="65"/>
      <c r="OH26" s="65"/>
      <c r="OI26" s="65"/>
      <c r="OJ26" s="65"/>
      <c r="OK26" s="65"/>
      <c r="OL26" s="65"/>
      <c r="OM26" s="65"/>
      <c r="ON26" s="65"/>
      <c r="OO26" s="65"/>
      <c r="OP26" s="65"/>
      <c r="OQ26" s="65"/>
      <c r="OR26" s="65"/>
      <c r="OS26" s="65"/>
      <c r="OT26" s="65"/>
      <c r="OU26" s="65"/>
      <c r="OV26" s="65"/>
      <c r="OW26" s="65"/>
      <c r="OX26" s="65"/>
      <c r="OY26" s="65"/>
      <c r="OZ26" s="65"/>
      <c r="PA26" s="65"/>
      <c r="PB26" s="65"/>
      <c r="PC26" s="65"/>
      <c r="PD26" s="65"/>
      <c r="PE26" s="65"/>
      <c r="PF26" s="65"/>
      <c r="PG26" s="65"/>
      <c r="PH26" s="65"/>
      <c r="PI26" s="65"/>
      <c r="PJ26" s="65"/>
      <c r="PK26" s="65"/>
      <c r="PL26" s="65"/>
      <c r="PM26" s="65"/>
      <c r="PN26" s="65"/>
      <c r="PO26" s="65"/>
      <c r="PP26" s="65"/>
      <c r="PQ26" s="65"/>
      <c r="PR26" s="65"/>
      <c r="PS26" s="65"/>
      <c r="PT26" s="65"/>
      <c r="PU26" s="65"/>
      <c r="PV26" s="65"/>
      <c r="PW26" s="65"/>
      <c r="PX26" s="65"/>
      <c r="PY26" s="65"/>
      <c r="PZ26" s="65"/>
      <c r="QA26" s="65"/>
      <c r="QB26" s="65"/>
      <c r="QC26" s="65"/>
      <c r="QD26" s="65"/>
      <c r="QE26" s="65"/>
      <c r="QF26" s="65"/>
      <c r="QG26" s="65"/>
      <c r="QH26" s="65"/>
      <c r="QI26" s="65"/>
      <c r="QJ26" s="65"/>
      <c r="QK26" s="65"/>
      <c r="QL26" s="65"/>
      <c r="QM26" s="65"/>
      <c r="QN26" s="65"/>
      <c r="QO26" s="65"/>
      <c r="QP26" s="65"/>
      <c r="QQ26" s="65"/>
      <c r="QR26" s="65"/>
      <c r="QS26" s="65"/>
      <c r="QT26" s="65"/>
      <c r="QU26" s="65"/>
      <c r="QV26" s="65"/>
      <c r="QW26" s="65"/>
      <c r="QX26" s="65"/>
      <c r="QY26" s="65"/>
      <c r="QZ26" s="65"/>
      <c r="RA26" s="65"/>
      <c r="RB26" s="65"/>
      <c r="RC26" s="65"/>
      <c r="RD26" s="65"/>
      <c r="RE26" s="65"/>
      <c r="RF26" s="65"/>
      <c r="RG26" s="65"/>
      <c r="RH26" s="65"/>
      <c r="RI26" s="65"/>
      <c r="RJ26" s="65"/>
      <c r="RK26" s="65"/>
      <c r="RL26" s="65"/>
      <c r="RM26" s="65"/>
      <c r="RN26" s="65"/>
      <c r="RO26" s="65"/>
      <c r="RP26" s="65"/>
      <c r="RQ26" s="65"/>
      <c r="RR26" s="65"/>
      <c r="RS26" s="65"/>
      <c r="RT26" s="65"/>
      <c r="RU26" s="65"/>
      <c r="RV26" s="65"/>
      <c r="RW26" s="65"/>
      <c r="RX26" s="65"/>
      <c r="RY26" s="65"/>
      <c r="RZ26" s="65"/>
      <c r="SA26" s="65"/>
      <c r="SB26" s="65"/>
      <c r="SC26" s="65"/>
      <c r="SD26" s="65"/>
      <c r="SE26" s="65"/>
      <c r="SF26" s="65"/>
      <c r="SG26" s="65"/>
      <c r="SH26" s="65"/>
      <c r="SI26" s="65"/>
      <c r="SJ26" s="65"/>
      <c r="SK26" s="65"/>
      <c r="SL26" s="65"/>
      <c r="SM26" s="65"/>
      <c r="SN26" s="65"/>
      <c r="SO26" s="65"/>
      <c r="SP26" s="65"/>
      <c r="SQ26" s="65"/>
      <c r="SR26" s="65"/>
      <c r="SS26" s="65"/>
      <c r="ST26" s="65"/>
      <c r="SU26" s="65"/>
      <c r="SV26" s="65"/>
      <c r="SW26" s="65"/>
      <c r="SX26" s="65"/>
      <c r="SY26" s="65"/>
      <c r="SZ26" s="65"/>
      <c r="TA26" s="65"/>
      <c r="TB26" s="65"/>
      <c r="TC26" s="65"/>
      <c r="TD26" s="65"/>
      <c r="TE26" s="65"/>
      <c r="TF26" s="65"/>
      <c r="TG26" s="65"/>
      <c r="TH26" s="65"/>
      <c r="TI26" s="65"/>
      <c r="TJ26" s="65"/>
      <c r="TK26" s="65"/>
      <c r="TL26" s="65"/>
      <c r="TM26" s="65"/>
      <c r="TN26" s="65"/>
      <c r="TO26" s="65"/>
      <c r="TP26" s="65"/>
      <c r="TQ26" s="65"/>
      <c r="TR26" s="65"/>
      <c r="TS26" s="65"/>
      <c r="TT26" s="65"/>
      <c r="TU26" s="65"/>
      <c r="TV26" s="65"/>
      <c r="TW26" s="65"/>
      <c r="TX26" s="65"/>
      <c r="TY26" s="65"/>
      <c r="TZ26" s="65"/>
      <c r="UA26" s="65"/>
      <c r="UB26" s="65"/>
      <c r="UC26" s="65"/>
      <c r="UD26" s="65"/>
      <c r="UE26" s="65"/>
      <c r="UF26" s="65"/>
      <c r="UG26" s="65"/>
      <c r="UH26" s="65"/>
      <c r="UI26" s="65"/>
      <c r="UJ26" s="65"/>
      <c r="UK26" s="65"/>
      <c r="UL26" s="65"/>
      <c r="UM26" s="65"/>
      <c r="UN26" s="65"/>
      <c r="UO26" s="65"/>
      <c r="UP26" s="65"/>
      <c r="UQ26" s="65"/>
      <c r="UR26" s="65"/>
      <c r="US26" s="65"/>
      <c r="UT26" s="65"/>
      <c r="UU26" s="65"/>
      <c r="UV26" s="65"/>
      <c r="UW26" s="65"/>
      <c r="UX26" s="65"/>
      <c r="UY26" s="65"/>
      <c r="UZ26" s="65"/>
      <c r="VA26" s="65"/>
      <c r="VB26" s="65"/>
      <c r="VC26" s="65"/>
      <c r="VD26" s="65"/>
      <c r="VE26" s="65"/>
      <c r="VF26" s="65"/>
      <c r="VG26" s="65"/>
      <c r="VH26" s="65"/>
      <c r="VI26" s="65"/>
      <c r="VJ26" s="65"/>
      <c r="VK26" s="65"/>
      <c r="VL26" s="65"/>
      <c r="VM26" s="65"/>
      <c r="VN26" s="65"/>
      <c r="VO26" s="65"/>
      <c r="VP26" s="65"/>
      <c r="VQ26" s="65"/>
      <c r="VR26" s="65"/>
      <c r="VS26" s="65"/>
      <c r="VT26" s="65"/>
      <c r="VU26" s="65"/>
      <c r="VV26" s="65"/>
      <c r="VW26" s="65"/>
      <c r="VX26" s="65"/>
      <c r="VY26" s="65"/>
      <c r="VZ26" s="65"/>
      <c r="WA26" s="65"/>
      <c r="WB26" s="65"/>
      <c r="WC26" s="65"/>
      <c r="WD26" s="65"/>
      <c r="WE26" s="65"/>
      <c r="WF26" s="65"/>
      <c r="WG26" s="65"/>
      <c r="WH26" s="65"/>
      <c r="WI26" s="65"/>
      <c r="WJ26" s="65"/>
      <c r="WK26" s="65"/>
      <c r="WL26" s="65"/>
      <c r="WM26" s="65"/>
      <c r="WN26" s="65"/>
      <c r="WO26" s="65"/>
      <c r="WP26" s="65"/>
      <c r="WQ26" s="65"/>
      <c r="WR26" s="65"/>
      <c r="WS26" s="65"/>
      <c r="WT26" s="65"/>
      <c r="WU26" s="65"/>
      <c r="WV26" s="65"/>
      <c r="WW26" s="65"/>
      <c r="WX26" s="65"/>
      <c r="WY26" s="65"/>
      <c r="WZ26" s="65"/>
      <c r="XA26" s="65"/>
      <c r="XB26" s="65"/>
      <c r="XC26" s="65"/>
      <c r="XD26" s="65"/>
      <c r="XE26" s="65"/>
      <c r="XF26" s="65"/>
      <c r="XG26" s="65"/>
      <c r="XH26" s="65"/>
      <c r="XI26" s="65"/>
      <c r="XJ26" s="65"/>
      <c r="XK26" s="65"/>
      <c r="XL26" s="65"/>
      <c r="XM26" s="65"/>
      <c r="XN26" s="65"/>
      <c r="XO26" s="65"/>
      <c r="XP26" s="65"/>
      <c r="XQ26" s="65"/>
      <c r="XR26" s="65"/>
      <c r="XS26" s="65"/>
      <c r="XT26" s="65"/>
      <c r="XU26" s="65"/>
      <c r="XV26" s="65"/>
      <c r="XW26" s="65"/>
      <c r="XX26" s="65"/>
      <c r="XY26" s="65"/>
      <c r="XZ26" s="65"/>
      <c r="YA26" s="65"/>
      <c r="YB26" s="65"/>
      <c r="YC26" s="65"/>
      <c r="YD26" s="65"/>
      <c r="YE26" s="65"/>
      <c r="YF26" s="65"/>
      <c r="YG26" s="65"/>
      <c r="YH26" s="65"/>
      <c r="YI26" s="65"/>
      <c r="YJ26" s="65"/>
      <c r="YK26" s="65"/>
      <c r="YL26" s="65"/>
      <c r="YM26" s="65"/>
      <c r="YN26" s="65"/>
      <c r="YO26" s="65"/>
      <c r="YP26" s="65"/>
      <c r="YQ26" s="65"/>
      <c r="YR26" s="65"/>
      <c r="YS26" s="65"/>
      <c r="YT26" s="65"/>
      <c r="YU26" s="65"/>
      <c r="YV26" s="65"/>
      <c r="YW26" s="65"/>
      <c r="YX26" s="65"/>
      <c r="YY26" s="65"/>
      <c r="YZ26" s="65"/>
    </row>
    <row r="27" spans="1:676" ht="20.5">
      <c r="A27" s="68"/>
      <c r="B27" s="239" t="str">
        <f>"Kosten bei "&amp;E6*100&amp;"%"&amp; " Auslastung"</f>
        <v>Kosten bei 48,96% Auslastung</v>
      </c>
      <c r="C27" s="240">
        <f ca="1">C24*C21</f>
        <v>8345.1451633370452</v>
      </c>
      <c r="D27" s="240">
        <f ca="1">D24*D21</f>
        <v>83300.087397071591</v>
      </c>
      <c r="E27" s="240">
        <f ca="1">E24*E21</f>
        <v>694994.70592800528</v>
      </c>
      <c r="F27" s="241">
        <f ca="1">SUM(C27:E27)</f>
        <v>786639.93848841393</v>
      </c>
      <c r="G27" s="223"/>
      <c r="H27" s="223"/>
      <c r="I27" s="239" t="str">
        <f>"Kosten bei "&amp;J6*100&amp;"% Auslastung"</f>
        <v>Kosten bei 47,62% Auslastung</v>
      </c>
      <c r="J27" s="240">
        <f ca="1">J21*J24</f>
        <v>10579.912145285629</v>
      </c>
      <c r="K27" s="240">
        <f ca="1">K21*K24</f>
        <v>538237.55623770587</v>
      </c>
      <c r="L27" s="241">
        <f ca="1">SUM(J27:K27)</f>
        <v>548817.4683829915</v>
      </c>
      <c r="M27" s="254"/>
      <c r="N27" s="64"/>
      <c r="O27" s="117"/>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65"/>
      <c r="CM27" s="65"/>
      <c r="CN27" s="65"/>
      <c r="CO27" s="65"/>
      <c r="CP27" s="65"/>
      <c r="CQ27" s="65"/>
      <c r="CR27" s="65"/>
      <c r="CS27" s="65"/>
      <c r="CT27" s="65"/>
      <c r="CU27" s="65"/>
      <c r="CV27" s="65"/>
      <c r="CW27" s="65"/>
      <c r="CX27" s="65"/>
      <c r="CY27" s="65"/>
      <c r="CZ27" s="65"/>
      <c r="DA27" s="65"/>
      <c r="DB27" s="65"/>
      <c r="DC27" s="65"/>
      <c r="DD27" s="65"/>
      <c r="DE27" s="65"/>
      <c r="DF27" s="65"/>
      <c r="DG27" s="65"/>
      <c r="DH27" s="65"/>
      <c r="DI27" s="65"/>
      <c r="DJ27" s="65"/>
      <c r="DK27" s="65"/>
      <c r="DL27" s="65"/>
      <c r="DM27" s="65"/>
      <c r="DN27" s="65"/>
      <c r="DO27" s="65"/>
      <c r="DP27" s="65"/>
      <c r="DQ27" s="65"/>
      <c r="DR27" s="65"/>
      <c r="DS27" s="65"/>
      <c r="DT27" s="65"/>
      <c r="DU27" s="65"/>
      <c r="DV27" s="65"/>
      <c r="DW27" s="65"/>
      <c r="DX27" s="65"/>
      <c r="DY27" s="65"/>
      <c r="DZ27" s="65"/>
      <c r="EA27" s="65"/>
      <c r="EB27" s="65"/>
      <c r="EC27" s="65"/>
      <c r="ED27" s="65"/>
      <c r="EE27" s="65"/>
      <c r="EF27" s="65"/>
      <c r="EG27" s="65"/>
      <c r="EH27" s="65"/>
      <c r="EI27" s="65"/>
      <c r="EJ27" s="65"/>
      <c r="EK27" s="65"/>
      <c r="EL27" s="65"/>
      <c r="EM27" s="65"/>
      <c r="EN27" s="65"/>
      <c r="EO27" s="65"/>
      <c r="EP27" s="65"/>
      <c r="EQ27" s="65"/>
      <c r="ER27" s="65"/>
      <c r="ES27" s="65"/>
      <c r="ET27" s="65"/>
      <c r="EU27" s="65"/>
      <c r="EV27" s="65"/>
      <c r="EW27" s="65"/>
      <c r="EX27" s="65"/>
      <c r="EY27" s="65"/>
      <c r="EZ27" s="65"/>
      <c r="FA27" s="65"/>
      <c r="FB27" s="65"/>
      <c r="FC27" s="65"/>
      <c r="FD27" s="65"/>
      <c r="FE27" s="65"/>
      <c r="FF27" s="65"/>
      <c r="FG27" s="65"/>
      <c r="FH27" s="65"/>
      <c r="FI27" s="65"/>
      <c r="FJ27" s="65"/>
      <c r="FK27" s="65"/>
      <c r="FL27" s="65"/>
      <c r="FM27" s="65"/>
      <c r="FN27" s="65"/>
      <c r="FO27" s="65"/>
      <c r="FP27" s="65"/>
      <c r="FQ27" s="65"/>
      <c r="FR27" s="65"/>
      <c r="FS27" s="65"/>
      <c r="FT27" s="65"/>
      <c r="FU27" s="65"/>
      <c r="FV27" s="65"/>
      <c r="FW27" s="65"/>
      <c r="FX27" s="65"/>
      <c r="FY27" s="65"/>
      <c r="FZ27" s="65"/>
      <c r="GA27" s="65"/>
      <c r="GB27" s="65"/>
      <c r="GC27" s="65"/>
      <c r="GD27" s="65"/>
      <c r="GE27" s="65"/>
      <c r="GF27" s="65"/>
      <c r="GG27" s="65"/>
      <c r="GH27" s="65"/>
      <c r="GI27" s="65"/>
      <c r="GJ27" s="65"/>
      <c r="GK27" s="65"/>
      <c r="GL27" s="65"/>
      <c r="GM27" s="65"/>
      <c r="GN27" s="65"/>
      <c r="GO27" s="65"/>
      <c r="GP27" s="65"/>
      <c r="GQ27" s="65"/>
      <c r="GR27" s="65"/>
      <c r="GS27" s="65"/>
      <c r="GT27" s="65"/>
      <c r="GU27" s="65"/>
      <c r="GV27" s="65"/>
      <c r="GW27" s="65"/>
      <c r="GX27" s="65"/>
      <c r="GY27" s="65"/>
      <c r="GZ27" s="65"/>
      <c r="HA27" s="65"/>
      <c r="HB27" s="65"/>
      <c r="HC27" s="65"/>
      <c r="HD27" s="65"/>
      <c r="HE27" s="65"/>
      <c r="HF27" s="65"/>
      <c r="HG27" s="65"/>
      <c r="HH27" s="65"/>
      <c r="HI27" s="65"/>
      <c r="HJ27" s="65"/>
      <c r="HK27" s="65"/>
      <c r="HL27" s="65"/>
      <c r="HM27" s="65"/>
      <c r="HN27" s="65"/>
      <c r="HO27" s="65"/>
      <c r="HP27" s="65"/>
      <c r="HQ27" s="65"/>
      <c r="HR27" s="65"/>
      <c r="HS27" s="65"/>
      <c r="HT27" s="65"/>
      <c r="HU27" s="65"/>
      <c r="HV27" s="65"/>
      <c r="HW27" s="65"/>
      <c r="HX27" s="65"/>
      <c r="HY27" s="65"/>
      <c r="HZ27" s="65"/>
      <c r="IA27" s="65"/>
      <c r="IB27" s="65"/>
      <c r="IC27" s="65"/>
      <c r="ID27" s="65"/>
      <c r="IE27" s="65"/>
      <c r="IF27" s="65"/>
      <c r="IG27" s="65"/>
      <c r="IH27" s="65"/>
      <c r="II27" s="65"/>
      <c r="IJ27" s="65"/>
      <c r="IK27" s="65"/>
      <c r="IL27" s="65"/>
      <c r="IM27" s="65"/>
      <c r="IN27" s="65"/>
      <c r="IO27" s="65"/>
      <c r="IP27" s="65"/>
      <c r="IQ27" s="65"/>
      <c r="IR27" s="65"/>
      <c r="IS27" s="65"/>
      <c r="IT27" s="65"/>
      <c r="IU27" s="65"/>
      <c r="IV27" s="65"/>
      <c r="IW27" s="65"/>
      <c r="IX27" s="65"/>
      <c r="IY27" s="65"/>
      <c r="IZ27" s="65"/>
      <c r="JA27" s="65"/>
      <c r="JB27" s="65"/>
      <c r="JC27" s="65"/>
      <c r="JD27" s="65"/>
      <c r="JE27" s="65"/>
      <c r="JF27" s="65"/>
      <c r="JG27" s="65"/>
      <c r="JH27" s="65"/>
      <c r="JI27" s="65"/>
      <c r="JJ27" s="65"/>
      <c r="JK27" s="65"/>
      <c r="JL27" s="65"/>
      <c r="JM27" s="65"/>
      <c r="JN27" s="65"/>
      <c r="JO27" s="65"/>
      <c r="JP27" s="65"/>
      <c r="JQ27" s="65"/>
      <c r="JR27" s="65"/>
      <c r="JS27" s="65"/>
      <c r="JT27" s="65"/>
      <c r="JU27" s="65"/>
      <c r="JV27" s="65"/>
      <c r="JW27" s="65"/>
      <c r="JX27" s="65"/>
      <c r="JY27" s="65"/>
      <c r="JZ27" s="65"/>
      <c r="KA27" s="65"/>
      <c r="KB27" s="65"/>
      <c r="KC27" s="65"/>
      <c r="KD27" s="65"/>
      <c r="KE27" s="65"/>
      <c r="KF27" s="65"/>
      <c r="KG27" s="65"/>
      <c r="KH27" s="65"/>
      <c r="KI27" s="65"/>
      <c r="KJ27" s="65"/>
      <c r="KK27" s="65"/>
      <c r="KL27" s="65"/>
      <c r="KM27" s="65"/>
      <c r="KN27" s="65"/>
      <c r="KO27" s="65"/>
      <c r="KP27" s="65"/>
      <c r="KQ27" s="65"/>
      <c r="KR27" s="65"/>
      <c r="KS27" s="65"/>
      <c r="KT27" s="65"/>
      <c r="KU27" s="65"/>
      <c r="KV27" s="65"/>
      <c r="KW27" s="65"/>
      <c r="KX27" s="65"/>
      <c r="KY27" s="65"/>
      <c r="KZ27" s="65"/>
      <c r="LA27" s="65"/>
      <c r="LB27" s="65"/>
      <c r="LC27" s="65"/>
      <c r="LD27" s="65"/>
      <c r="LE27" s="65"/>
      <c r="LF27" s="65"/>
      <c r="LG27" s="65"/>
      <c r="LH27" s="65"/>
      <c r="LI27" s="65"/>
      <c r="LJ27" s="65"/>
      <c r="LK27" s="65"/>
      <c r="LL27" s="65"/>
      <c r="LM27" s="65"/>
      <c r="LN27" s="65"/>
      <c r="LO27" s="65"/>
      <c r="LP27" s="65"/>
      <c r="LQ27" s="65"/>
      <c r="LR27" s="65"/>
      <c r="LS27" s="65"/>
      <c r="LT27" s="65"/>
      <c r="LU27" s="65"/>
      <c r="LV27" s="65"/>
      <c r="LW27" s="65"/>
      <c r="LX27" s="65"/>
      <c r="LY27" s="65"/>
      <c r="LZ27" s="65"/>
      <c r="MA27" s="65"/>
      <c r="MB27" s="65"/>
      <c r="MC27" s="65"/>
      <c r="MD27" s="65"/>
      <c r="ME27" s="65"/>
      <c r="MF27" s="65"/>
      <c r="MG27" s="65"/>
      <c r="MH27" s="65"/>
      <c r="MI27" s="65"/>
      <c r="MJ27" s="65"/>
      <c r="MK27" s="65"/>
      <c r="ML27" s="65"/>
      <c r="MM27" s="65"/>
      <c r="MN27" s="65"/>
      <c r="MO27" s="65"/>
      <c r="MP27" s="65"/>
      <c r="MQ27" s="65"/>
      <c r="MR27" s="65"/>
      <c r="MS27" s="65"/>
      <c r="MT27" s="65"/>
      <c r="MU27" s="65"/>
      <c r="MV27" s="65"/>
      <c r="MW27" s="65"/>
      <c r="MX27" s="65"/>
      <c r="MY27" s="65"/>
      <c r="MZ27" s="65"/>
      <c r="NA27" s="65"/>
      <c r="NB27" s="65"/>
      <c r="NC27" s="65"/>
      <c r="ND27" s="65"/>
      <c r="NE27" s="65"/>
      <c r="NF27" s="65"/>
      <c r="NG27" s="65"/>
      <c r="NH27" s="65"/>
      <c r="NI27" s="65"/>
      <c r="NJ27" s="65"/>
      <c r="NK27" s="65"/>
      <c r="NL27" s="65"/>
      <c r="NM27" s="65"/>
      <c r="NN27" s="65"/>
      <c r="NO27" s="65"/>
      <c r="NP27" s="65"/>
      <c r="NQ27" s="65"/>
      <c r="NR27" s="65"/>
      <c r="NS27" s="65"/>
      <c r="NT27" s="65"/>
      <c r="NU27" s="65"/>
      <c r="NV27" s="65"/>
      <c r="NW27" s="65"/>
      <c r="NX27" s="65"/>
      <c r="NY27" s="65"/>
      <c r="NZ27" s="65"/>
      <c r="OA27" s="65"/>
      <c r="OB27" s="65"/>
      <c r="OC27" s="65"/>
      <c r="OD27" s="65"/>
      <c r="OE27" s="65"/>
      <c r="OF27" s="65"/>
      <c r="OG27" s="65"/>
      <c r="OH27" s="65"/>
      <c r="OI27" s="65"/>
      <c r="OJ27" s="65"/>
      <c r="OK27" s="65"/>
      <c r="OL27" s="65"/>
      <c r="OM27" s="65"/>
      <c r="ON27" s="65"/>
      <c r="OO27" s="65"/>
      <c r="OP27" s="65"/>
      <c r="OQ27" s="65"/>
      <c r="OR27" s="65"/>
      <c r="OS27" s="65"/>
      <c r="OT27" s="65"/>
      <c r="OU27" s="65"/>
      <c r="OV27" s="65"/>
      <c r="OW27" s="65"/>
      <c r="OX27" s="65"/>
      <c r="OY27" s="65"/>
      <c r="OZ27" s="65"/>
      <c r="PA27" s="65"/>
      <c r="PB27" s="65"/>
      <c r="PC27" s="65"/>
      <c r="PD27" s="65"/>
      <c r="PE27" s="65"/>
      <c r="PF27" s="65"/>
      <c r="PG27" s="65"/>
      <c r="PH27" s="65"/>
      <c r="PI27" s="65"/>
      <c r="PJ27" s="65"/>
      <c r="PK27" s="65"/>
      <c r="PL27" s="65"/>
      <c r="PM27" s="65"/>
      <c r="PN27" s="65"/>
      <c r="PO27" s="65"/>
      <c r="PP27" s="65"/>
      <c r="PQ27" s="65"/>
      <c r="PR27" s="65"/>
      <c r="PS27" s="65"/>
      <c r="PT27" s="65"/>
      <c r="PU27" s="65"/>
      <c r="PV27" s="65"/>
      <c r="PW27" s="65"/>
      <c r="PX27" s="65"/>
      <c r="PY27" s="65"/>
      <c r="PZ27" s="65"/>
      <c r="QA27" s="65"/>
      <c r="QB27" s="65"/>
      <c r="QC27" s="65"/>
      <c r="QD27" s="65"/>
      <c r="QE27" s="65"/>
      <c r="QF27" s="65"/>
      <c r="QG27" s="65"/>
      <c r="QH27" s="65"/>
      <c r="QI27" s="65"/>
      <c r="QJ27" s="65"/>
      <c r="QK27" s="65"/>
      <c r="QL27" s="65"/>
      <c r="QM27" s="65"/>
      <c r="QN27" s="65"/>
      <c r="QO27" s="65"/>
      <c r="QP27" s="65"/>
      <c r="QQ27" s="65"/>
      <c r="QR27" s="65"/>
      <c r="QS27" s="65"/>
      <c r="QT27" s="65"/>
      <c r="QU27" s="65"/>
      <c r="QV27" s="65"/>
      <c r="QW27" s="65"/>
      <c r="QX27" s="65"/>
      <c r="QY27" s="65"/>
      <c r="QZ27" s="65"/>
      <c r="RA27" s="65"/>
      <c r="RB27" s="65"/>
      <c r="RC27" s="65"/>
      <c r="RD27" s="65"/>
      <c r="RE27" s="65"/>
      <c r="RF27" s="65"/>
      <c r="RG27" s="65"/>
      <c r="RH27" s="65"/>
      <c r="RI27" s="65"/>
      <c r="RJ27" s="65"/>
      <c r="RK27" s="65"/>
      <c r="RL27" s="65"/>
      <c r="RM27" s="65"/>
      <c r="RN27" s="65"/>
      <c r="RO27" s="65"/>
      <c r="RP27" s="65"/>
      <c r="RQ27" s="65"/>
      <c r="RR27" s="65"/>
      <c r="RS27" s="65"/>
      <c r="RT27" s="65"/>
      <c r="RU27" s="65"/>
      <c r="RV27" s="65"/>
      <c r="RW27" s="65"/>
      <c r="RX27" s="65"/>
      <c r="RY27" s="65"/>
      <c r="RZ27" s="65"/>
      <c r="SA27" s="65"/>
      <c r="SB27" s="65"/>
      <c r="SC27" s="65"/>
      <c r="SD27" s="65"/>
      <c r="SE27" s="65"/>
      <c r="SF27" s="65"/>
      <c r="SG27" s="65"/>
      <c r="SH27" s="65"/>
      <c r="SI27" s="65"/>
      <c r="SJ27" s="65"/>
      <c r="SK27" s="65"/>
      <c r="SL27" s="65"/>
      <c r="SM27" s="65"/>
      <c r="SN27" s="65"/>
      <c r="SO27" s="65"/>
      <c r="SP27" s="65"/>
      <c r="SQ27" s="65"/>
      <c r="SR27" s="65"/>
      <c r="SS27" s="65"/>
      <c r="ST27" s="65"/>
      <c r="SU27" s="65"/>
      <c r="SV27" s="65"/>
      <c r="SW27" s="65"/>
      <c r="SX27" s="65"/>
      <c r="SY27" s="65"/>
      <c r="SZ27" s="65"/>
      <c r="TA27" s="65"/>
      <c r="TB27" s="65"/>
      <c r="TC27" s="65"/>
      <c r="TD27" s="65"/>
      <c r="TE27" s="65"/>
      <c r="TF27" s="65"/>
      <c r="TG27" s="65"/>
      <c r="TH27" s="65"/>
      <c r="TI27" s="65"/>
      <c r="TJ27" s="65"/>
      <c r="TK27" s="65"/>
      <c r="TL27" s="65"/>
      <c r="TM27" s="65"/>
      <c r="TN27" s="65"/>
      <c r="TO27" s="65"/>
      <c r="TP27" s="65"/>
      <c r="TQ27" s="65"/>
      <c r="TR27" s="65"/>
      <c r="TS27" s="65"/>
      <c r="TT27" s="65"/>
      <c r="TU27" s="65"/>
      <c r="TV27" s="65"/>
      <c r="TW27" s="65"/>
      <c r="TX27" s="65"/>
      <c r="TY27" s="65"/>
      <c r="TZ27" s="65"/>
      <c r="UA27" s="65"/>
      <c r="UB27" s="65"/>
      <c r="UC27" s="65"/>
      <c r="UD27" s="65"/>
      <c r="UE27" s="65"/>
      <c r="UF27" s="65"/>
      <c r="UG27" s="65"/>
      <c r="UH27" s="65"/>
      <c r="UI27" s="65"/>
      <c r="UJ27" s="65"/>
      <c r="UK27" s="65"/>
      <c r="UL27" s="65"/>
      <c r="UM27" s="65"/>
      <c r="UN27" s="65"/>
      <c r="UO27" s="65"/>
      <c r="UP27" s="65"/>
      <c r="UQ27" s="65"/>
      <c r="UR27" s="65"/>
      <c r="US27" s="65"/>
      <c r="UT27" s="65"/>
      <c r="UU27" s="65"/>
      <c r="UV27" s="65"/>
      <c r="UW27" s="65"/>
      <c r="UX27" s="65"/>
      <c r="UY27" s="65"/>
      <c r="UZ27" s="65"/>
      <c r="VA27" s="65"/>
      <c r="VB27" s="65"/>
      <c r="VC27" s="65"/>
      <c r="VD27" s="65"/>
      <c r="VE27" s="65"/>
      <c r="VF27" s="65"/>
      <c r="VG27" s="65"/>
      <c r="VH27" s="65"/>
      <c r="VI27" s="65"/>
      <c r="VJ27" s="65"/>
      <c r="VK27" s="65"/>
      <c r="VL27" s="65"/>
      <c r="VM27" s="65"/>
      <c r="VN27" s="65"/>
      <c r="VO27" s="65"/>
      <c r="VP27" s="65"/>
      <c r="VQ27" s="65"/>
      <c r="VR27" s="65"/>
      <c r="VS27" s="65"/>
      <c r="VT27" s="65"/>
      <c r="VU27" s="65"/>
      <c r="VV27" s="65"/>
      <c r="VW27" s="65"/>
      <c r="VX27" s="65"/>
      <c r="VY27" s="65"/>
      <c r="VZ27" s="65"/>
      <c r="WA27" s="65"/>
      <c r="WB27" s="65"/>
      <c r="WC27" s="65"/>
      <c r="WD27" s="65"/>
      <c r="WE27" s="65"/>
      <c r="WF27" s="65"/>
      <c r="WG27" s="65"/>
      <c r="WH27" s="65"/>
      <c r="WI27" s="65"/>
      <c r="WJ27" s="65"/>
      <c r="WK27" s="65"/>
      <c r="WL27" s="65"/>
      <c r="WM27" s="65"/>
      <c r="WN27" s="65"/>
      <c r="WO27" s="65"/>
      <c r="WP27" s="65"/>
      <c r="WQ27" s="65"/>
      <c r="WR27" s="65"/>
      <c r="WS27" s="65"/>
      <c r="WT27" s="65"/>
      <c r="WU27" s="65"/>
      <c r="WV27" s="65"/>
      <c r="WW27" s="65"/>
      <c r="WX27" s="65"/>
      <c r="WY27" s="65"/>
      <c r="WZ27" s="65"/>
      <c r="XA27" s="65"/>
      <c r="XB27" s="65"/>
      <c r="XC27" s="65"/>
      <c r="XD27" s="65"/>
      <c r="XE27" s="65"/>
      <c r="XF27" s="65"/>
      <c r="XG27" s="65"/>
      <c r="XH27" s="65"/>
      <c r="XI27" s="65"/>
      <c r="XJ27" s="65"/>
      <c r="XK27" s="65"/>
      <c r="XL27" s="65"/>
      <c r="XM27" s="65"/>
      <c r="XN27" s="65"/>
      <c r="XO27" s="65"/>
      <c r="XP27" s="65"/>
      <c r="XQ27" s="65"/>
      <c r="XR27" s="65"/>
      <c r="XS27" s="65"/>
      <c r="XT27" s="65"/>
      <c r="XU27" s="65"/>
      <c r="XV27" s="65"/>
      <c r="XW27" s="65"/>
      <c r="XX27" s="65"/>
      <c r="XY27" s="65"/>
      <c r="XZ27" s="65"/>
      <c r="YA27" s="65"/>
      <c r="YB27" s="65"/>
      <c r="YC27" s="65"/>
      <c r="YD27" s="65"/>
      <c r="YE27" s="65"/>
      <c r="YF27" s="65"/>
      <c r="YG27" s="65"/>
      <c r="YH27" s="65"/>
      <c r="YI27" s="65"/>
      <c r="YJ27" s="65"/>
      <c r="YK27" s="65"/>
      <c r="YL27" s="65"/>
      <c r="YM27" s="65"/>
      <c r="YN27" s="65"/>
      <c r="YO27" s="65"/>
      <c r="YP27" s="65"/>
      <c r="YQ27" s="65"/>
      <c r="YR27" s="65"/>
      <c r="YS27" s="65"/>
      <c r="YT27" s="65"/>
      <c r="YU27" s="65"/>
      <c r="YV27" s="65"/>
      <c r="YW27" s="65"/>
      <c r="YX27" s="65"/>
      <c r="YY27" s="65"/>
      <c r="YZ27" s="65"/>
    </row>
    <row r="28" spans="1:676" ht="20.5">
      <c r="A28" s="68"/>
      <c r="B28" s="239" t="str">
        <f>"Kosten pro Fall je Gruppe bei "&amp;E6*100&amp;"% Auslastung"</f>
        <v>Kosten pro Fall je Gruppe bei 48,96% Auslastung</v>
      </c>
      <c r="C28" s="240">
        <f ca="1">C27/C24</f>
        <v>0.73297602230213088</v>
      </c>
      <c r="D28" s="240">
        <f ca="1">D27/D24</f>
        <v>129.66003174888564</v>
      </c>
      <c r="E28" s="318">
        <f ca="1">IFERROR(E27/E24,0)</f>
        <v>1254.5030792924283</v>
      </c>
      <c r="F28" s="337"/>
      <c r="G28" s="223"/>
      <c r="H28" s="223"/>
      <c r="I28" s="239" t="str">
        <f>"Kosten pro Fall je Gruppe bei "&amp;J6*100&amp;"% Auslastung"</f>
        <v>Kosten pro Fall je Gruppe bei 47,62% Auslastung</v>
      </c>
      <c r="J28" s="318">
        <f ca="1">IFERROR(J27/J24,0)</f>
        <v>8.9286977186107066</v>
      </c>
      <c r="K28" s="240">
        <f ca="1">K27/K24</f>
        <v>2179.0994179664203</v>
      </c>
      <c r="L28" s="335"/>
      <c r="M28" s="254"/>
      <c r="N28" s="64"/>
      <c r="O28" s="117"/>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c r="AZ28" s="65"/>
      <c r="BA28" s="65"/>
      <c r="BB28" s="65"/>
      <c r="BC28" s="65"/>
      <c r="BD28" s="65"/>
      <c r="BE28" s="65"/>
      <c r="BF28" s="65"/>
      <c r="BG28" s="65"/>
      <c r="BH28" s="65"/>
      <c r="BI28" s="65"/>
      <c r="BJ28" s="65"/>
      <c r="BK28" s="65"/>
      <c r="BL28" s="65"/>
      <c r="BM28" s="65"/>
      <c r="BN28" s="65"/>
      <c r="BO28" s="65"/>
      <c r="BP28" s="65"/>
      <c r="BQ28" s="65"/>
      <c r="BR28" s="65"/>
      <c r="BS28" s="65"/>
      <c r="BT28" s="65"/>
      <c r="BU28" s="65"/>
      <c r="BV28" s="65"/>
      <c r="BW28" s="65"/>
      <c r="BX28" s="65"/>
      <c r="BY28" s="65"/>
      <c r="BZ28" s="65"/>
      <c r="CA28" s="65"/>
      <c r="CB28" s="65"/>
      <c r="CC28" s="65"/>
      <c r="CD28" s="65"/>
      <c r="CE28" s="65"/>
      <c r="CF28" s="65"/>
      <c r="CG28" s="65"/>
      <c r="CH28" s="65"/>
      <c r="CI28" s="65"/>
      <c r="CJ28" s="65"/>
      <c r="CK28" s="65"/>
      <c r="CL28" s="65"/>
      <c r="CM28" s="65"/>
      <c r="CN28" s="65"/>
      <c r="CO28" s="65"/>
      <c r="CP28" s="65"/>
      <c r="CQ28" s="65"/>
      <c r="CR28" s="65"/>
      <c r="CS28" s="65"/>
      <c r="CT28" s="65"/>
      <c r="CU28" s="65"/>
      <c r="CV28" s="65"/>
      <c r="CW28" s="65"/>
      <c r="CX28" s="65"/>
      <c r="CY28" s="65"/>
      <c r="CZ28" s="65"/>
      <c r="DA28" s="65"/>
      <c r="DB28" s="65"/>
      <c r="DC28" s="65"/>
      <c r="DD28" s="65"/>
      <c r="DE28" s="65"/>
      <c r="DF28" s="65"/>
      <c r="DG28" s="65"/>
      <c r="DH28" s="65"/>
      <c r="DI28" s="65"/>
      <c r="DJ28" s="65"/>
      <c r="DK28" s="65"/>
      <c r="DL28" s="65"/>
      <c r="DM28" s="65"/>
      <c r="DN28" s="65"/>
      <c r="DO28" s="65"/>
      <c r="DP28" s="65"/>
      <c r="DQ28" s="65"/>
      <c r="DR28" s="65"/>
      <c r="DS28" s="65"/>
      <c r="DT28" s="65"/>
      <c r="DU28" s="65"/>
      <c r="DV28" s="65"/>
      <c r="DW28" s="65"/>
      <c r="DX28" s="65"/>
      <c r="DY28" s="65"/>
      <c r="DZ28" s="65"/>
      <c r="EA28" s="65"/>
      <c r="EB28" s="65"/>
      <c r="EC28" s="65"/>
      <c r="ED28" s="65"/>
      <c r="EE28" s="65"/>
      <c r="EF28" s="65"/>
      <c r="EG28" s="65"/>
      <c r="EH28" s="65"/>
      <c r="EI28" s="65"/>
      <c r="EJ28" s="65"/>
      <c r="EK28" s="65"/>
      <c r="EL28" s="65"/>
      <c r="EM28" s="65"/>
      <c r="EN28" s="65"/>
      <c r="EO28" s="65"/>
      <c r="EP28" s="65"/>
      <c r="EQ28" s="65"/>
      <c r="ER28" s="65"/>
      <c r="ES28" s="65"/>
      <c r="ET28" s="65"/>
      <c r="EU28" s="65"/>
      <c r="EV28" s="65"/>
      <c r="EW28" s="65"/>
      <c r="EX28" s="65"/>
      <c r="EY28" s="65"/>
      <c r="EZ28" s="65"/>
      <c r="FA28" s="65"/>
      <c r="FB28" s="65"/>
      <c r="FC28" s="65"/>
      <c r="FD28" s="65"/>
      <c r="FE28" s="65"/>
      <c r="FF28" s="65"/>
      <c r="FG28" s="65"/>
      <c r="FH28" s="65"/>
      <c r="FI28" s="65"/>
      <c r="FJ28" s="65"/>
      <c r="FK28" s="65"/>
      <c r="FL28" s="65"/>
      <c r="FM28" s="65"/>
      <c r="FN28" s="65"/>
      <c r="FO28" s="65"/>
      <c r="FP28" s="65"/>
      <c r="FQ28" s="65"/>
      <c r="FR28" s="65"/>
      <c r="FS28" s="65"/>
      <c r="FT28" s="65"/>
      <c r="FU28" s="65"/>
      <c r="FV28" s="65"/>
      <c r="FW28" s="65"/>
      <c r="FX28" s="65"/>
      <c r="FY28" s="65"/>
      <c r="FZ28" s="65"/>
      <c r="GA28" s="65"/>
      <c r="GB28" s="65"/>
      <c r="GC28" s="65"/>
      <c r="GD28" s="65"/>
      <c r="GE28" s="65"/>
      <c r="GF28" s="65"/>
      <c r="GG28" s="65"/>
      <c r="GH28" s="65"/>
      <c r="GI28" s="65"/>
      <c r="GJ28" s="65"/>
      <c r="GK28" s="65"/>
      <c r="GL28" s="65"/>
      <c r="GM28" s="65"/>
      <c r="GN28" s="65"/>
      <c r="GO28" s="65"/>
      <c r="GP28" s="65"/>
      <c r="GQ28" s="65"/>
      <c r="GR28" s="65"/>
      <c r="GS28" s="65"/>
      <c r="GT28" s="65"/>
      <c r="GU28" s="65"/>
      <c r="GV28" s="65"/>
      <c r="GW28" s="65"/>
      <c r="GX28" s="65"/>
      <c r="GY28" s="65"/>
      <c r="GZ28" s="65"/>
      <c r="HA28" s="65"/>
      <c r="HB28" s="65"/>
      <c r="HC28" s="65"/>
      <c r="HD28" s="65"/>
      <c r="HE28" s="65"/>
      <c r="HF28" s="65"/>
      <c r="HG28" s="65"/>
      <c r="HH28" s="65"/>
      <c r="HI28" s="65"/>
      <c r="HJ28" s="65"/>
      <c r="HK28" s="65"/>
      <c r="HL28" s="65"/>
      <c r="HM28" s="65"/>
      <c r="HN28" s="65"/>
      <c r="HO28" s="65"/>
      <c r="HP28" s="65"/>
      <c r="HQ28" s="65"/>
      <c r="HR28" s="65"/>
      <c r="HS28" s="65"/>
      <c r="HT28" s="65"/>
      <c r="HU28" s="65"/>
      <c r="HV28" s="65"/>
      <c r="HW28" s="65"/>
      <c r="HX28" s="65"/>
      <c r="HY28" s="65"/>
      <c r="HZ28" s="65"/>
      <c r="IA28" s="65"/>
      <c r="IB28" s="65"/>
      <c r="IC28" s="65"/>
      <c r="ID28" s="65"/>
      <c r="IE28" s="65"/>
      <c r="IF28" s="65"/>
      <c r="IG28" s="65"/>
      <c r="IH28" s="65"/>
      <c r="II28" s="65"/>
      <c r="IJ28" s="65"/>
      <c r="IK28" s="65"/>
      <c r="IL28" s="65"/>
      <c r="IM28" s="65"/>
      <c r="IN28" s="65"/>
      <c r="IO28" s="65"/>
      <c r="IP28" s="65"/>
      <c r="IQ28" s="65"/>
      <c r="IR28" s="65"/>
      <c r="IS28" s="65"/>
      <c r="IT28" s="65"/>
      <c r="IU28" s="65"/>
      <c r="IV28" s="65"/>
      <c r="IW28" s="65"/>
      <c r="IX28" s="65"/>
      <c r="IY28" s="65"/>
      <c r="IZ28" s="65"/>
      <c r="JA28" s="65"/>
      <c r="JB28" s="65"/>
      <c r="JC28" s="65"/>
      <c r="JD28" s="65"/>
      <c r="JE28" s="65"/>
      <c r="JF28" s="65"/>
      <c r="JG28" s="65"/>
      <c r="JH28" s="65"/>
      <c r="JI28" s="65"/>
      <c r="JJ28" s="65"/>
      <c r="JK28" s="65"/>
      <c r="JL28" s="65"/>
      <c r="JM28" s="65"/>
      <c r="JN28" s="65"/>
      <c r="JO28" s="65"/>
      <c r="JP28" s="65"/>
      <c r="JQ28" s="65"/>
      <c r="JR28" s="65"/>
      <c r="JS28" s="65"/>
      <c r="JT28" s="65"/>
      <c r="JU28" s="65"/>
      <c r="JV28" s="65"/>
      <c r="JW28" s="65"/>
      <c r="JX28" s="65"/>
      <c r="JY28" s="65"/>
      <c r="JZ28" s="65"/>
      <c r="KA28" s="65"/>
      <c r="KB28" s="65"/>
      <c r="KC28" s="65"/>
      <c r="KD28" s="65"/>
      <c r="KE28" s="65"/>
      <c r="KF28" s="65"/>
      <c r="KG28" s="65"/>
      <c r="KH28" s="65"/>
      <c r="KI28" s="65"/>
      <c r="KJ28" s="65"/>
      <c r="KK28" s="65"/>
      <c r="KL28" s="65"/>
      <c r="KM28" s="65"/>
      <c r="KN28" s="65"/>
      <c r="KO28" s="65"/>
      <c r="KP28" s="65"/>
      <c r="KQ28" s="65"/>
      <c r="KR28" s="65"/>
      <c r="KS28" s="65"/>
      <c r="KT28" s="65"/>
      <c r="KU28" s="65"/>
      <c r="KV28" s="65"/>
      <c r="KW28" s="65"/>
      <c r="KX28" s="65"/>
      <c r="KY28" s="65"/>
      <c r="KZ28" s="65"/>
      <c r="LA28" s="65"/>
      <c r="LB28" s="65"/>
      <c r="LC28" s="65"/>
      <c r="LD28" s="65"/>
      <c r="LE28" s="65"/>
      <c r="LF28" s="65"/>
      <c r="LG28" s="65"/>
      <c r="LH28" s="65"/>
      <c r="LI28" s="65"/>
      <c r="LJ28" s="65"/>
      <c r="LK28" s="65"/>
      <c r="LL28" s="65"/>
      <c r="LM28" s="65"/>
      <c r="LN28" s="65"/>
      <c r="LO28" s="65"/>
      <c r="LP28" s="65"/>
      <c r="LQ28" s="65"/>
      <c r="LR28" s="65"/>
      <c r="LS28" s="65"/>
      <c r="LT28" s="65"/>
      <c r="LU28" s="65"/>
      <c r="LV28" s="65"/>
      <c r="LW28" s="65"/>
      <c r="LX28" s="65"/>
      <c r="LY28" s="65"/>
      <c r="LZ28" s="65"/>
      <c r="MA28" s="65"/>
      <c r="MB28" s="65"/>
      <c r="MC28" s="65"/>
      <c r="MD28" s="65"/>
      <c r="ME28" s="65"/>
      <c r="MF28" s="65"/>
      <c r="MG28" s="65"/>
      <c r="MH28" s="65"/>
      <c r="MI28" s="65"/>
      <c r="MJ28" s="65"/>
      <c r="MK28" s="65"/>
      <c r="ML28" s="65"/>
      <c r="MM28" s="65"/>
      <c r="MN28" s="65"/>
      <c r="MO28" s="65"/>
      <c r="MP28" s="65"/>
      <c r="MQ28" s="65"/>
      <c r="MR28" s="65"/>
      <c r="MS28" s="65"/>
      <c r="MT28" s="65"/>
      <c r="MU28" s="65"/>
      <c r="MV28" s="65"/>
      <c r="MW28" s="65"/>
      <c r="MX28" s="65"/>
      <c r="MY28" s="65"/>
      <c r="MZ28" s="65"/>
      <c r="NA28" s="65"/>
      <c r="NB28" s="65"/>
      <c r="NC28" s="65"/>
      <c r="ND28" s="65"/>
      <c r="NE28" s="65"/>
      <c r="NF28" s="65"/>
      <c r="NG28" s="65"/>
      <c r="NH28" s="65"/>
      <c r="NI28" s="65"/>
      <c r="NJ28" s="65"/>
      <c r="NK28" s="65"/>
      <c r="NL28" s="65"/>
      <c r="NM28" s="65"/>
      <c r="NN28" s="65"/>
      <c r="NO28" s="65"/>
      <c r="NP28" s="65"/>
      <c r="NQ28" s="65"/>
      <c r="NR28" s="65"/>
      <c r="NS28" s="65"/>
      <c r="NT28" s="65"/>
      <c r="NU28" s="65"/>
      <c r="NV28" s="65"/>
      <c r="NW28" s="65"/>
      <c r="NX28" s="65"/>
      <c r="NY28" s="65"/>
      <c r="NZ28" s="65"/>
      <c r="OA28" s="65"/>
      <c r="OB28" s="65"/>
      <c r="OC28" s="65"/>
      <c r="OD28" s="65"/>
      <c r="OE28" s="65"/>
      <c r="OF28" s="65"/>
      <c r="OG28" s="65"/>
      <c r="OH28" s="65"/>
      <c r="OI28" s="65"/>
      <c r="OJ28" s="65"/>
      <c r="OK28" s="65"/>
      <c r="OL28" s="65"/>
      <c r="OM28" s="65"/>
      <c r="ON28" s="65"/>
      <c r="OO28" s="65"/>
      <c r="OP28" s="65"/>
      <c r="OQ28" s="65"/>
      <c r="OR28" s="65"/>
      <c r="OS28" s="65"/>
      <c r="OT28" s="65"/>
      <c r="OU28" s="65"/>
      <c r="OV28" s="65"/>
      <c r="OW28" s="65"/>
      <c r="OX28" s="65"/>
      <c r="OY28" s="65"/>
      <c r="OZ28" s="65"/>
      <c r="PA28" s="65"/>
      <c r="PB28" s="65"/>
      <c r="PC28" s="65"/>
      <c r="PD28" s="65"/>
      <c r="PE28" s="65"/>
      <c r="PF28" s="65"/>
      <c r="PG28" s="65"/>
      <c r="PH28" s="65"/>
      <c r="PI28" s="65"/>
      <c r="PJ28" s="65"/>
      <c r="PK28" s="65"/>
      <c r="PL28" s="65"/>
      <c r="PM28" s="65"/>
      <c r="PN28" s="65"/>
      <c r="PO28" s="65"/>
      <c r="PP28" s="65"/>
      <c r="PQ28" s="65"/>
      <c r="PR28" s="65"/>
      <c r="PS28" s="65"/>
      <c r="PT28" s="65"/>
      <c r="PU28" s="65"/>
      <c r="PV28" s="65"/>
      <c r="PW28" s="65"/>
      <c r="PX28" s="65"/>
      <c r="PY28" s="65"/>
      <c r="PZ28" s="65"/>
      <c r="QA28" s="65"/>
      <c r="QB28" s="65"/>
      <c r="QC28" s="65"/>
      <c r="QD28" s="65"/>
      <c r="QE28" s="65"/>
      <c r="QF28" s="65"/>
      <c r="QG28" s="65"/>
      <c r="QH28" s="65"/>
      <c r="QI28" s="65"/>
      <c r="QJ28" s="65"/>
      <c r="QK28" s="65"/>
      <c r="QL28" s="65"/>
      <c r="QM28" s="65"/>
      <c r="QN28" s="65"/>
      <c r="QO28" s="65"/>
      <c r="QP28" s="65"/>
      <c r="QQ28" s="65"/>
      <c r="QR28" s="65"/>
      <c r="QS28" s="65"/>
      <c r="QT28" s="65"/>
      <c r="QU28" s="65"/>
      <c r="QV28" s="65"/>
      <c r="QW28" s="65"/>
      <c r="QX28" s="65"/>
      <c r="QY28" s="65"/>
      <c r="QZ28" s="65"/>
      <c r="RA28" s="65"/>
      <c r="RB28" s="65"/>
      <c r="RC28" s="65"/>
      <c r="RD28" s="65"/>
      <c r="RE28" s="65"/>
      <c r="RF28" s="65"/>
      <c r="RG28" s="65"/>
      <c r="RH28" s="65"/>
      <c r="RI28" s="65"/>
      <c r="RJ28" s="65"/>
      <c r="RK28" s="65"/>
      <c r="RL28" s="65"/>
      <c r="RM28" s="65"/>
      <c r="RN28" s="65"/>
      <c r="RO28" s="65"/>
      <c r="RP28" s="65"/>
      <c r="RQ28" s="65"/>
      <c r="RR28" s="65"/>
      <c r="RS28" s="65"/>
      <c r="RT28" s="65"/>
      <c r="RU28" s="65"/>
      <c r="RV28" s="65"/>
      <c r="RW28" s="65"/>
      <c r="RX28" s="65"/>
      <c r="RY28" s="65"/>
      <c r="RZ28" s="65"/>
      <c r="SA28" s="65"/>
      <c r="SB28" s="65"/>
      <c r="SC28" s="65"/>
      <c r="SD28" s="65"/>
      <c r="SE28" s="65"/>
      <c r="SF28" s="65"/>
      <c r="SG28" s="65"/>
      <c r="SH28" s="65"/>
      <c r="SI28" s="65"/>
      <c r="SJ28" s="65"/>
      <c r="SK28" s="65"/>
      <c r="SL28" s="65"/>
      <c r="SM28" s="65"/>
      <c r="SN28" s="65"/>
      <c r="SO28" s="65"/>
      <c r="SP28" s="65"/>
      <c r="SQ28" s="65"/>
      <c r="SR28" s="65"/>
      <c r="SS28" s="65"/>
      <c r="ST28" s="65"/>
      <c r="SU28" s="65"/>
      <c r="SV28" s="65"/>
      <c r="SW28" s="65"/>
      <c r="SX28" s="65"/>
      <c r="SY28" s="65"/>
      <c r="SZ28" s="65"/>
      <c r="TA28" s="65"/>
      <c r="TB28" s="65"/>
      <c r="TC28" s="65"/>
      <c r="TD28" s="65"/>
      <c r="TE28" s="65"/>
      <c r="TF28" s="65"/>
      <c r="TG28" s="65"/>
      <c r="TH28" s="65"/>
      <c r="TI28" s="65"/>
      <c r="TJ28" s="65"/>
      <c r="TK28" s="65"/>
      <c r="TL28" s="65"/>
      <c r="TM28" s="65"/>
      <c r="TN28" s="65"/>
      <c r="TO28" s="65"/>
      <c r="TP28" s="65"/>
      <c r="TQ28" s="65"/>
      <c r="TR28" s="65"/>
      <c r="TS28" s="65"/>
      <c r="TT28" s="65"/>
      <c r="TU28" s="65"/>
      <c r="TV28" s="65"/>
      <c r="TW28" s="65"/>
      <c r="TX28" s="65"/>
      <c r="TY28" s="65"/>
      <c r="TZ28" s="65"/>
      <c r="UA28" s="65"/>
      <c r="UB28" s="65"/>
      <c r="UC28" s="65"/>
      <c r="UD28" s="65"/>
      <c r="UE28" s="65"/>
      <c r="UF28" s="65"/>
      <c r="UG28" s="65"/>
      <c r="UH28" s="65"/>
      <c r="UI28" s="65"/>
      <c r="UJ28" s="65"/>
      <c r="UK28" s="65"/>
      <c r="UL28" s="65"/>
      <c r="UM28" s="65"/>
      <c r="UN28" s="65"/>
      <c r="UO28" s="65"/>
      <c r="UP28" s="65"/>
      <c r="UQ28" s="65"/>
      <c r="UR28" s="65"/>
      <c r="US28" s="65"/>
      <c r="UT28" s="65"/>
      <c r="UU28" s="65"/>
      <c r="UV28" s="65"/>
      <c r="UW28" s="65"/>
      <c r="UX28" s="65"/>
      <c r="UY28" s="65"/>
      <c r="UZ28" s="65"/>
      <c r="VA28" s="65"/>
      <c r="VB28" s="65"/>
      <c r="VC28" s="65"/>
      <c r="VD28" s="65"/>
      <c r="VE28" s="65"/>
      <c r="VF28" s="65"/>
      <c r="VG28" s="65"/>
      <c r="VH28" s="65"/>
      <c r="VI28" s="65"/>
      <c r="VJ28" s="65"/>
      <c r="VK28" s="65"/>
      <c r="VL28" s="65"/>
      <c r="VM28" s="65"/>
      <c r="VN28" s="65"/>
      <c r="VO28" s="65"/>
      <c r="VP28" s="65"/>
      <c r="VQ28" s="65"/>
      <c r="VR28" s="65"/>
      <c r="VS28" s="65"/>
      <c r="VT28" s="65"/>
      <c r="VU28" s="65"/>
      <c r="VV28" s="65"/>
      <c r="VW28" s="65"/>
      <c r="VX28" s="65"/>
      <c r="VY28" s="65"/>
      <c r="VZ28" s="65"/>
      <c r="WA28" s="65"/>
      <c r="WB28" s="65"/>
      <c r="WC28" s="65"/>
      <c r="WD28" s="65"/>
      <c r="WE28" s="65"/>
      <c r="WF28" s="65"/>
      <c r="WG28" s="65"/>
      <c r="WH28" s="65"/>
      <c r="WI28" s="65"/>
      <c r="WJ28" s="65"/>
      <c r="WK28" s="65"/>
      <c r="WL28" s="65"/>
      <c r="WM28" s="65"/>
      <c r="WN28" s="65"/>
      <c r="WO28" s="65"/>
      <c r="WP28" s="65"/>
      <c r="WQ28" s="65"/>
      <c r="WR28" s="65"/>
      <c r="WS28" s="65"/>
      <c r="WT28" s="65"/>
      <c r="WU28" s="65"/>
      <c r="WV28" s="65"/>
      <c r="WW28" s="65"/>
      <c r="WX28" s="65"/>
      <c r="WY28" s="65"/>
      <c r="WZ28" s="65"/>
      <c r="XA28" s="65"/>
      <c r="XB28" s="65"/>
      <c r="XC28" s="65"/>
      <c r="XD28" s="65"/>
      <c r="XE28" s="65"/>
      <c r="XF28" s="65"/>
      <c r="XG28" s="65"/>
      <c r="XH28" s="65"/>
      <c r="XI28" s="65"/>
      <c r="XJ28" s="65"/>
      <c r="XK28" s="65"/>
      <c r="XL28" s="65"/>
      <c r="XM28" s="65"/>
      <c r="XN28" s="65"/>
      <c r="XO28" s="65"/>
      <c r="XP28" s="65"/>
      <c r="XQ28" s="65"/>
      <c r="XR28" s="65"/>
      <c r="XS28" s="65"/>
      <c r="XT28" s="65"/>
      <c r="XU28" s="65"/>
      <c r="XV28" s="65"/>
      <c r="XW28" s="65"/>
      <c r="XX28" s="65"/>
      <c r="XY28" s="65"/>
      <c r="XZ28" s="65"/>
      <c r="YA28" s="65"/>
      <c r="YB28" s="65"/>
      <c r="YC28" s="65"/>
      <c r="YD28" s="65"/>
      <c r="YE28" s="65"/>
      <c r="YF28" s="65"/>
      <c r="YG28" s="65"/>
      <c r="YH28" s="65"/>
      <c r="YI28" s="65"/>
      <c r="YJ28" s="65"/>
      <c r="YK28" s="65"/>
      <c r="YL28" s="65"/>
      <c r="YM28" s="65"/>
      <c r="YN28" s="65"/>
      <c r="YO28" s="65"/>
      <c r="YP28" s="65"/>
      <c r="YQ28" s="65"/>
      <c r="YR28" s="65"/>
      <c r="YS28" s="65"/>
      <c r="YT28" s="65"/>
      <c r="YU28" s="65"/>
      <c r="YV28" s="65"/>
      <c r="YW28" s="65"/>
      <c r="YX28" s="65"/>
      <c r="YY28" s="65"/>
      <c r="YZ28" s="65"/>
    </row>
    <row r="29" spans="1:676" s="85" customFormat="1" ht="24" customHeight="1">
      <c r="A29" s="68"/>
      <c r="B29" s="239" t="s">
        <v>124</v>
      </c>
      <c r="C29" s="240">
        <f>C18*C20</f>
        <v>0</v>
      </c>
      <c r="D29" s="240">
        <f t="shared" ref="D29" si="0">D18*D20</f>
        <v>120</v>
      </c>
      <c r="E29" s="318">
        <f ca="1">IF(E28&gt;0,E18*E20,0)</f>
        <v>140</v>
      </c>
      <c r="F29" s="338"/>
      <c r="G29" s="223"/>
      <c r="H29" s="223"/>
      <c r="I29" s="239" t="s">
        <v>124</v>
      </c>
      <c r="J29" s="318">
        <f ca="1">IF(J28&gt;0,J18*J20,0)</f>
        <v>30</v>
      </c>
      <c r="K29" s="240">
        <f>K18*K20</f>
        <v>210</v>
      </c>
      <c r="L29" s="336"/>
      <c r="M29" s="254"/>
      <c r="N29" s="57"/>
      <c r="O29" s="57"/>
      <c r="P29" s="57"/>
      <c r="Q29" s="57"/>
      <c r="R29" s="57"/>
      <c r="S29" s="57"/>
      <c r="T29" s="57"/>
      <c r="U29" s="57"/>
      <c r="V29" s="57"/>
      <c r="W29" s="57"/>
      <c r="X29" s="57"/>
      <c r="Y29" s="57"/>
      <c r="Z29" s="57"/>
      <c r="AA29" s="57"/>
      <c r="AB29" s="57"/>
      <c r="AC29" s="57"/>
      <c r="AD29" s="57"/>
      <c r="AE29" s="57"/>
      <c r="AF29" s="57"/>
      <c r="AG29" s="57"/>
      <c r="AH29" s="57"/>
      <c r="AI29" s="57"/>
      <c r="AJ29" s="57"/>
      <c r="AK29" s="57"/>
      <c r="AL29" s="57"/>
      <c r="AM29" s="57"/>
      <c r="AN29" s="57"/>
      <c r="AO29" s="57"/>
      <c r="AP29" s="57"/>
      <c r="AQ29" s="57"/>
      <c r="AR29" s="57"/>
      <c r="AS29" s="57"/>
      <c r="AT29" s="57"/>
      <c r="AU29" s="57"/>
      <c r="AV29" s="57"/>
      <c r="AW29" s="57"/>
      <c r="AX29" s="57"/>
      <c r="AY29" s="57"/>
      <c r="AZ29" s="57"/>
      <c r="BA29" s="57"/>
      <c r="BB29" s="57"/>
      <c r="BC29" s="57"/>
      <c r="BD29" s="57"/>
      <c r="BE29" s="57"/>
      <c r="BF29" s="57"/>
      <c r="BG29" s="57"/>
      <c r="BH29" s="57"/>
      <c r="BI29" s="57"/>
      <c r="BJ29" s="57"/>
      <c r="BK29" s="57"/>
      <c r="BL29" s="57"/>
      <c r="BM29" s="57"/>
      <c r="BN29" s="57"/>
      <c r="BO29" s="57"/>
      <c r="BP29" s="57"/>
      <c r="BQ29" s="57"/>
      <c r="BR29" s="57"/>
      <c r="BS29" s="57"/>
      <c r="BT29" s="57"/>
      <c r="BU29" s="57"/>
      <c r="BV29" s="57"/>
      <c r="BW29" s="57"/>
      <c r="BX29" s="57"/>
      <c r="BY29" s="57"/>
      <c r="BZ29" s="57"/>
      <c r="CA29" s="57"/>
      <c r="CB29" s="57"/>
      <c r="CC29" s="57"/>
      <c r="CD29" s="57"/>
      <c r="CE29" s="57"/>
      <c r="CF29" s="57"/>
      <c r="CG29" s="57"/>
      <c r="CH29" s="57"/>
      <c r="CI29" s="57"/>
      <c r="CJ29" s="57"/>
      <c r="CK29" s="57"/>
      <c r="CL29" s="57"/>
      <c r="CM29" s="57"/>
      <c r="CN29" s="57"/>
      <c r="CO29" s="57"/>
      <c r="CP29" s="57"/>
      <c r="CQ29" s="57"/>
      <c r="CR29" s="57"/>
      <c r="CS29" s="57"/>
      <c r="CT29" s="57"/>
      <c r="CU29" s="57"/>
      <c r="CV29" s="57"/>
      <c r="CW29" s="57"/>
      <c r="CX29" s="57"/>
      <c r="CY29" s="57"/>
      <c r="CZ29" s="57"/>
      <c r="DA29" s="57"/>
      <c r="DB29" s="57"/>
      <c r="DC29" s="57"/>
      <c r="DD29" s="57"/>
      <c r="DE29" s="57"/>
      <c r="DF29" s="57"/>
      <c r="DG29" s="57"/>
      <c r="DH29" s="57"/>
      <c r="DI29" s="57"/>
      <c r="DJ29" s="57"/>
      <c r="DK29" s="57"/>
      <c r="DL29" s="57"/>
      <c r="DM29" s="57"/>
      <c r="DN29" s="57"/>
      <c r="DO29" s="57"/>
      <c r="DP29" s="57"/>
      <c r="DQ29" s="57"/>
      <c r="DR29" s="57"/>
      <c r="DS29" s="57"/>
      <c r="DT29" s="57"/>
      <c r="DU29" s="57"/>
      <c r="DV29" s="57"/>
      <c r="DW29" s="57"/>
      <c r="DX29" s="57"/>
      <c r="DY29" s="57"/>
      <c r="DZ29" s="57"/>
      <c r="EA29" s="57"/>
      <c r="EB29" s="57"/>
      <c r="EC29" s="57"/>
      <c r="ED29" s="57"/>
      <c r="EE29" s="57"/>
      <c r="EF29" s="57"/>
      <c r="EG29" s="57"/>
      <c r="EH29" s="57"/>
      <c r="EI29" s="57"/>
      <c r="EJ29" s="57"/>
      <c r="EK29" s="57"/>
      <c r="EL29" s="57"/>
      <c r="EM29" s="57"/>
      <c r="EN29" s="57"/>
      <c r="EO29" s="57"/>
      <c r="EP29" s="57"/>
      <c r="EQ29" s="57"/>
      <c r="ER29" s="57"/>
      <c r="ES29" s="57"/>
      <c r="ET29" s="57"/>
      <c r="EU29" s="57"/>
      <c r="EV29" s="57"/>
      <c r="EW29" s="57"/>
      <c r="EX29" s="57"/>
      <c r="EY29" s="57"/>
      <c r="EZ29" s="57"/>
      <c r="FA29" s="57"/>
      <c r="FB29" s="57"/>
      <c r="FC29" s="57"/>
      <c r="FD29" s="57"/>
      <c r="FE29" s="57"/>
      <c r="FF29" s="57"/>
      <c r="FG29" s="57"/>
      <c r="FH29" s="57"/>
      <c r="FI29" s="57"/>
      <c r="FJ29" s="57"/>
      <c r="FK29" s="57"/>
      <c r="FL29" s="57"/>
      <c r="FM29" s="57"/>
      <c r="FN29" s="57"/>
      <c r="FO29" s="57"/>
      <c r="FP29" s="57"/>
      <c r="FQ29" s="57"/>
      <c r="FR29" s="57"/>
      <c r="FS29" s="57"/>
      <c r="FT29" s="57"/>
      <c r="FU29" s="57"/>
      <c r="FV29" s="57"/>
      <c r="FW29" s="57"/>
      <c r="FX29" s="57"/>
      <c r="FY29" s="57"/>
      <c r="FZ29" s="57"/>
      <c r="GA29" s="57"/>
      <c r="GB29" s="57"/>
      <c r="GC29" s="57"/>
      <c r="GD29" s="57"/>
      <c r="GE29" s="57"/>
      <c r="GF29" s="57"/>
      <c r="GG29" s="57"/>
      <c r="GH29" s="57"/>
      <c r="GI29" s="57"/>
      <c r="GJ29" s="57"/>
      <c r="GK29" s="57"/>
      <c r="GL29" s="57"/>
      <c r="GM29" s="57"/>
      <c r="GN29" s="57"/>
      <c r="GO29" s="57"/>
      <c r="GP29" s="57"/>
      <c r="GQ29" s="57"/>
      <c r="GR29" s="57"/>
      <c r="GS29" s="57"/>
      <c r="GT29" s="57"/>
      <c r="GU29" s="57"/>
      <c r="GV29" s="57"/>
      <c r="GW29" s="57"/>
      <c r="GX29" s="57"/>
      <c r="GY29" s="57"/>
      <c r="GZ29" s="57"/>
      <c r="HA29" s="57"/>
      <c r="HB29" s="57"/>
      <c r="HC29" s="57"/>
      <c r="HD29" s="57"/>
      <c r="HE29" s="57"/>
      <c r="HF29" s="57"/>
      <c r="HG29" s="57"/>
      <c r="HH29" s="57"/>
      <c r="HI29" s="57"/>
      <c r="HJ29" s="57"/>
      <c r="HK29" s="57"/>
      <c r="HL29" s="57"/>
      <c r="HM29" s="57"/>
      <c r="HN29" s="57"/>
      <c r="HO29" s="57"/>
      <c r="HP29" s="57"/>
      <c r="HQ29" s="57"/>
      <c r="HR29" s="57"/>
      <c r="HS29" s="57"/>
      <c r="HT29" s="57"/>
      <c r="HU29" s="57"/>
      <c r="HV29" s="57"/>
      <c r="HW29" s="57"/>
      <c r="HX29" s="57"/>
      <c r="HY29" s="57"/>
      <c r="HZ29" s="57"/>
      <c r="IA29" s="57"/>
      <c r="IB29" s="57"/>
      <c r="IC29" s="57"/>
      <c r="ID29" s="57"/>
      <c r="IE29" s="57"/>
      <c r="IF29" s="57"/>
      <c r="IG29" s="57"/>
      <c r="IH29" s="57"/>
      <c r="II29" s="57"/>
      <c r="IJ29" s="57"/>
      <c r="IK29" s="57"/>
      <c r="IL29" s="57"/>
      <c r="IM29" s="57"/>
      <c r="IN29" s="57"/>
      <c r="IO29" s="57"/>
      <c r="IP29" s="57"/>
      <c r="IQ29" s="57"/>
      <c r="IR29" s="57"/>
      <c r="IS29" s="57"/>
      <c r="IT29" s="57"/>
      <c r="IU29" s="57"/>
      <c r="IV29" s="57"/>
      <c r="IW29" s="57"/>
      <c r="IX29" s="57"/>
      <c r="IY29" s="57"/>
      <c r="IZ29" s="57"/>
      <c r="JA29" s="57"/>
      <c r="JB29" s="57"/>
      <c r="JC29" s="57"/>
      <c r="JD29" s="57"/>
      <c r="JE29" s="57"/>
      <c r="JF29" s="57"/>
      <c r="JG29" s="57"/>
      <c r="JH29" s="57"/>
      <c r="JI29" s="57"/>
      <c r="JJ29" s="57"/>
      <c r="JK29" s="57"/>
      <c r="JL29" s="57"/>
      <c r="JM29" s="57"/>
      <c r="JN29" s="57"/>
      <c r="JO29" s="57"/>
      <c r="JP29" s="57"/>
      <c r="JQ29" s="57"/>
      <c r="JR29" s="57"/>
      <c r="JS29" s="57"/>
      <c r="JT29" s="57"/>
      <c r="JU29" s="57"/>
      <c r="JV29" s="57"/>
      <c r="JW29" s="57"/>
      <c r="JX29" s="57"/>
      <c r="JY29" s="57"/>
      <c r="JZ29" s="57"/>
      <c r="KA29" s="57"/>
      <c r="KB29" s="57"/>
      <c r="KC29" s="57"/>
      <c r="KD29" s="57"/>
      <c r="KE29" s="57"/>
      <c r="KF29" s="57"/>
      <c r="KG29" s="57"/>
      <c r="KH29" s="57"/>
      <c r="KI29" s="57"/>
      <c r="KJ29" s="57"/>
      <c r="KK29" s="57"/>
      <c r="KL29" s="57"/>
      <c r="KM29" s="57"/>
      <c r="KN29" s="57"/>
      <c r="KO29" s="57"/>
      <c r="KP29" s="57"/>
      <c r="KQ29" s="57"/>
      <c r="KR29" s="57"/>
      <c r="KS29" s="57"/>
      <c r="KT29" s="57"/>
      <c r="KU29" s="57"/>
      <c r="KV29" s="57"/>
      <c r="KW29" s="57"/>
      <c r="KX29" s="57"/>
      <c r="KY29" s="57"/>
      <c r="KZ29" s="57"/>
      <c r="LA29" s="57"/>
      <c r="LB29" s="57"/>
      <c r="LC29" s="57"/>
      <c r="LD29" s="57"/>
      <c r="LE29" s="57"/>
      <c r="LF29" s="57"/>
      <c r="LG29" s="57"/>
      <c r="LH29" s="57"/>
      <c r="LI29" s="57"/>
      <c r="LJ29" s="57"/>
      <c r="LK29" s="57"/>
      <c r="LL29" s="57"/>
      <c r="LM29" s="57"/>
      <c r="LN29" s="57"/>
      <c r="LO29" s="57"/>
      <c r="LP29" s="57"/>
      <c r="LQ29" s="57"/>
      <c r="LR29" s="57"/>
      <c r="LS29" s="57"/>
      <c r="LT29" s="57"/>
      <c r="LU29" s="57"/>
      <c r="LV29" s="57"/>
      <c r="LW29" s="57"/>
      <c r="LX29" s="57"/>
      <c r="LY29" s="57"/>
      <c r="LZ29" s="57"/>
      <c r="MA29" s="57"/>
      <c r="MB29" s="57"/>
      <c r="MC29" s="57"/>
      <c r="MD29" s="57"/>
      <c r="ME29" s="57"/>
      <c r="MF29" s="84"/>
      <c r="MG29" s="84"/>
      <c r="MH29" s="84"/>
      <c r="MI29" s="84"/>
      <c r="MJ29" s="84"/>
      <c r="MK29" s="84"/>
      <c r="ML29" s="84"/>
      <c r="MM29" s="84"/>
      <c r="MN29" s="84"/>
      <c r="MO29" s="84"/>
      <c r="MP29" s="84"/>
      <c r="MQ29" s="84"/>
      <c r="MR29" s="84"/>
      <c r="MS29" s="84"/>
      <c r="MT29" s="84"/>
      <c r="MU29" s="84"/>
      <c r="MV29" s="84"/>
      <c r="MW29" s="84"/>
      <c r="MX29" s="84"/>
      <c r="MY29" s="84"/>
      <c r="MZ29" s="84"/>
      <c r="NA29" s="84"/>
      <c r="NB29" s="84"/>
      <c r="NC29" s="84"/>
      <c r="ND29" s="84"/>
      <c r="NE29" s="84"/>
      <c r="NF29" s="84"/>
      <c r="NG29" s="84"/>
      <c r="NH29" s="84"/>
      <c r="NI29" s="84"/>
      <c r="NJ29" s="84"/>
      <c r="NK29" s="84"/>
      <c r="NL29" s="84"/>
      <c r="NM29" s="84"/>
      <c r="NN29" s="84"/>
      <c r="NO29" s="84"/>
      <c r="NP29" s="84"/>
      <c r="NQ29" s="84"/>
      <c r="NR29" s="84"/>
      <c r="NS29" s="84"/>
      <c r="NT29" s="84"/>
      <c r="NU29" s="84"/>
      <c r="NV29" s="84"/>
      <c r="NW29" s="84"/>
      <c r="NX29" s="84"/>
      <c r="NY29" s="84"/>
      <c r="NZ29" s="84"/>
      <c r="OA29" s="84"/>
      <c r="OB29" s="84"/>
      <c r="OC29" s="84"/>
      <c r="OD29" s="84"/>
      <c r="OE29" s="84"/>
      <c r="OF29" s="84"/>
      <c r="OG29" s="84"/>
      <c r="OH29" s="84"/>
      <c r="OI29" s="84"/>
      <c r="OJ29" s="84"/>
      <c r="OK29" s="84"/>
      <c r="OL29" s="84"/>
      <c r="OM29" s="84"/>
      <c r="ON29" s="84"/>
      <c r="OO29" s="84"/>
      <c r="OP29" s="84"/>
      <c r="OQ29" s="84"/>
      <c r="OR29" s="84"/>
      <c r="OS29" s="84"/>
      <c r="OT29" s="84"/>
      <c r="OU29" s="84"/>
      <c r="OV29" s="84"/>
      <c r="OW29" s="84"/>
      <c r="OX29" s="84"/>
      <c r="OY29" s="84"/>
      <c r="OZ29" s="84"/>
      <c r="PA29" s="84"/>
      <c r="PB29" s="84"/>
      <c r="PC29" s="84"/>
      <c r="PD29" s="84"/>
      <c r="PE29" s="84"/>
      <c r="PF29" s="84"/>
      <c r="PG29" s="84"/>
      <c r="PH29" s="84"/>
      <c r="PI29" s="84"/>
      <c r="PJ29" s="84"/>
      <c r="PK29" s="84"/>
      <c r="PL29" s="84"/>
      <c r="PM29" s="84"/>
      <c r="PN29" s="84"/>
      <c r="PO29" s="84"/>
      <c r="PP29" s="84"/>
      <c r="PQ29" s="84"/>
      <c r="PR29" s="84"/>
      <c r="PS29" s="84"/>
      <c r="PT29" s="84"/>
      <c r="PU29" s="84"/>
      <c r="PV29" s="84"/>
      <c r="PW29" s="84"/>
      <c r="PX29" s="84"/>
      <c r="PY29" s="84"/>
      <c r="PZ29" s="84"/>
      <c r="QA29" s="84"/>
      <c r="QB29" s="84"/>
      <c r="QC29" s="84"/>
      <c r="QD29" s="84"/>
      <c r="QE29" s="84"/>
      <c r="QF29" s="84"/>
      <c r="QG29" s="84"/>
      <c r="QH29" s="84"/>
      <c r="QI29" s="84"/>
      <c r="QJ29" s="84"/>
      <c r="QK29" s="84"/>
      <c r="QL29" s="84"/>
      <c r="QM29" s="84"/>
      <c r="QN29" s="84"/>
      <c r="QO29" s="84"/>
      <c r="QP29" s="84"/>
      <c r="QQ29" s="84"/>
      <c r="QR29" s="84"/>
      <c r="QS29" s="84"/>
      <c r="QT29" s="84"/>
      <c r="QU29" s="84"/>
      <c r="QV29" s="84"/>
      <c r="QW29" s="84"/>
      <c r="QX29" s="84"/>
      <c r="QY29" s="84"/>
      <c r="QZ29" s="84"/>
      <c r="RA29" s="84"/>
      <c r="RB29" s="84"/>
      <c r="RC29" s="84"/>
      <c r="RD29" s="84"/>
      <c r="RE29" s="84"/>
      <c r="RF29" s="84"/>
      <c r="RG29" s="84"/>
      <c r="RH29" s="84"/>
      <c r="RI29" s="84"/>
      <c r="RJ29" s="84"/>
      <c r="RK29" s="84"/>
      <c r="RL29" s="84"/>
      <c r="RM29" s="84"/>
      <c r="RN29" s="84"/>
      <c r="RO29" s="84"/>
      <c r="RP29" s="84"/>
      <c r="RQ29" s="84"/>
      <c r="RR29" s="84"/>
      <c r="RS29" s="84"/>
      <c r="RT29" s="84"/>
      <c r="RU29" s="84"/>
      <c r="RV29" s="84"/>
      <c r="RW29" s="84"/>
      <c r="RX29" s="84"/>
      <c r="RY29" s="84"/>
      <c r="RZ29" s="84"/>
      <c r="SA29" s="84"/>
      <c r="SB29" s="84"/>
      <c r="SC29" s="84"/>
      <c r="SD29" s="84"/>
      <c r="SE29" s="84"/>
      <c r="SF29" s="84"/>
      <c r="SG29" s="84"/>
      <c r="SH29" s="84"/>
      <c r="SI29" s="84"/>
      <c r="SJ29" s="84"/>
      <c r="SK29" s="84"/>
      <c r="SL29" s="84"/>
      <c r="SM29" s="84"/>
      <c r="SN29" s="84"/>
      <c r="SO29" s="84"/>
      <c r="SP29" s="84"/>
      <c r="SQ29" s="84"/>
      <c r="SR29" s="84"/>
      <c r="SS29" s="84"/>
      <c r="ST29" s="84"/>
      <c r="SU29" s="84"/>
      <c r="SV29" s="84"/>
      <c r="SW29" s="84"/>
      <c r="SX29" s="84"/>
      <c r="SY29" s="84"/>
      <c r="SZ29" s="84"/>
      <c r="TA29" s="84"/>
      <c r="TB29" s="84"/>
      <c r="TC29" s="84"/>
      <c r="TD29" s="84"/>
      <c r="TE29" s="84"/>
      <c r="TF29" s="84"/>
      <c r="TG29" s="84"/>
      <c r="TH29" s="84"/>
      <c r="TI29" s="84"/>
      <c r="TJ29" s="84"/>
      <c r="TK29" s="84"/>
      <c r="TL29" s="84"/>
      <c r="TM29" s="84"/>
      <c r="TN29" s="84"/>
      <c r="TO29" s="84"/>
      <c r="TP29" s="84"/>
      <c r="TQ29" s="84"/>
      <c r="TR29" s="84"/>
      <c r="TS29" s="84"/>
      <c r="TT29" s="84"/>
      <c r="TU29" s="84"/>
      <c r="TV29" s="84"/>
      <c r="TW29" s="84"/>
      <c r="TX29" s="84"/>
      <c r="TY29" s="84"/>
      <c r="TZ29" s="84"/>
      <c r="UA29" s="84"/>
      <c r="UB29" s="84"/>
      <c r="UC29" s="84"/>
      <c r="UD29" s="84"/>
      <c r="UE29" s="84"/>
      <c r="UF29" s="84"/>
      <c r="UG29" s="84"/>
      <c r="UH29" s="84"/>
      <c r="UI29" s="84"/>
      <c r="UJ29" s="84"/>
      <c r="UK29" s="84"/>
      <c r="UL29" s="84"/>
      <c r="UM29" s="84"/>
      <c r="UN29" s="84"/>
      <c r="UO29" s="84"/>
      <c r="UP29" s="84"/>
      <c r="UQ29" s="84"/>
      <c r="UR29" s="84"/>
      <c r="US29" s="84"/>
      <c r="UT29" s="84"/>
      <c r="UU29" s="84"/>
      <c r="UV29" s="84"/>
      <c r="UW29" s="84"/>
      <c r="UX29" s="84"/>
      <c r="UY29" s="84"/>
      <c r="UZ29" s="84"/>
      <c r="VA29" s="84"/>
      <c r="VB29" s="84"/>
      <c r="VC29" s="84"/>
      <c r="VD29" s="84"/>
      <c r="VE29" s="84"/>
      <c r="VF29" s="84"/>
      <c r="VG29" s="84"/>
      <c r="VH29" s="84"/>
      <c r="VI29" s="84"/>
      <c r="VJ29" s="84"/>
      <c r="VK29" s="84"/>
      <c r="VL29" s="84"/>
      <c r="VM29" s="84"/>
      <c r="VN29" s="84"/>
      <c r="VO29" s="84"/>
      <c r="VP29" s="84"/>
      <c r="VQ29" s="84"/>
      <c r="VR29" s="84"/>
      <c r="VS29" s="84"/>
      <c r="VT29" s="84"/>
      <c r="VU29" s="84"/>
      <c r="VV29" s="84"/>
      <c r="VW29" s="84"/>
      <c r="VX29" s="84"/>
      <c r="VY29" s="84"/>
      <c r="VZ29" s="84"/>
      <c r="WA29" s="84"/>
      <c r="WB29" s="84"/>
      <c r="WC29" s="84"/>
      <c r="WD29" s="84"/>
      <c r="WE29" s="84"/>
      <c r="WF29" s="84"/>
      <c r="WG29" s="84"/>
      <c r="WH29" s="84"/>
      <c r="WI29" s="84"/>
      <c r="WJ29" s="84"/>
      <c r="WK29" s="84"/>
      <c r="WL29" s="84"/>
      <c r="WM29" s="84"/>
      <c r="WN29" s="84"/>
      <c r="WO29" s="84"/>
      <c r="WP29" s="84"/>
      <c r="WQ29" s="84"/>
      <c r="WR29" s="84"/>
      <c r="WS29" s="84"/>
      <c r="WT29" s="84"/>
      <c r="WU29" s="84"/>
      <c r="WV29" s="84"/>
      <c r="WW29" s="84"/>
      <c r="WX29" s="84"/>
      <c r="WY29" s="84"/>
      <c r="WZ29" s="84"/>
      <c r="XA29" s="84"/>
      <c r="XB29" s="84"/>
      <c r="XC29" s="84"/>
      <c r="XD29" s="84"/>
      <c r="XE29" s="84"/>
      <c r="XF29" s="84"/>
      <c r="XG29" s="84"/>
      <c r="XH29" s="84"/>
      <c r="XI29" s="84"/>
      <c r="XJ29" s="84"/>
      <c r="XK29" s="84"/>
      <c r="XL29" s="84"/>
      <c r="XM29" s="84"/>
      <c r="XN29" s="84"/>
      <c r="XO29" s="84"/>
      <c r="XP29" s="84"/>
      <c r="XQ29" s="84"/>
      <c r="XR29" s="84"/>
      <c r="XS29" s="84"/>
      <c r="XT29" s="84"/>
      <c r="XU29" s="84"/>
      <c r="XV29" s="84"/>
      <c r="XW29" s="84"/>
      <c r="XX29" s="84"/>
      <c r="XY29" s="84"/>
      <c r="XZ29" s="84"/>
      <c r="YA29" s="84"/>
      <c r="YB29" s="84"/>
      <c r="YC29" s="84"/>
      <c r="YD29" s="84"/>
      <c r="YE29" s="84"/>
      <c r="YF29" s="84"/>
      <c r="YG29" s="84"/>
      <c r="YH29" s="84"/>
      <c r="YI29" s="84"/>
      <c r="YJ29" s="84"/>
      <c r="YK29" s="84"/>
      <c r="YL29" s="84"/>
      <c r="YM29" s="84"/>
      <c r="YN29" s="84"/>
      <c r="YO29" s="84"/>
      <c r="YP29" s="84"/>
      <c r="YQ29" s="84"/>
      <c r="YR29" s="84"/>
      <c r="YS29" s="84"/>
      <c r="YT29" s="84"/>
      <c r="YU29" s="84"/>
      <c r="YV29" s="84"/>
      <c r="YW29" s="84"/>
      <c r="YX29" s="84"/>
      <c r="YY29" s="84"/>
      <c r="YZ29" s="84"/>
    </row>
    <row r="30" spans="1:676" s="85" customFormat="1" ht="24" customHeight="1">
      <c r="A30" s="68"/>
      <c r="B30" s="239" t="str">
        <f>"Verbleibende Kosten pro Fall je Gruppe bei "&amp;E6*100&amp;"% Auslastung"</f>
        <v>Verbleibende Kosten pro Fall je Gruppe bei 48,96% Auslastung</v>
      </c>
      <c r="C30" s="240">
        <f ca="1">C28-C29</f>
        <v>0.73297602230213088</v>
      </c>
      <c r="D30" s="240">
        <f ca="1">D28-D29</f>
        <v>9.6600317488856433</v>
      </c>
      <c r="E30" s="240">
        <f ca="1">E28-E29</f>
        <v>1114.5030792924283</v>
      </c>
      <c r="F30" s="339"/>
      <c r="G30" s="223"/>
      <c r="H30" s="223"/>
      <c r="I30" s="239" t="str">
        <f>"Verbleibende Kosten pro Fall je Gruppe bei "&amp;J6*100&amp;"% Auslastung"</f>
        <v>Verbleibende Kosten pro Fall je Gruppe bei 47,62% Auslastung</v>
      </c>
      <c r="J30" s="240">
        <f ca="1">J28-J29</f>
        <v>-21.071302281389293</v>
      </c>
      <c r="K30" s="240">
        <f ca="1">K28-K29</f>
        <v>1969.0994179664203</v>
      </c>
      <c r="L30" s="248"/>
      <c r="M30" s="254"/>
      <c r="N30" s="57"/>
      <c r="O30" s="57"/>
      <c r="P30" s="57"/>
      <c r="Q30" s="57"/>
      <c r="R30" s="57"/>
      <c r="S30" s="57"/>
      <c r="T30" s="57"/>
      <c r="U30" s="57"/>
      <c r="V30" s="57"/>
      <c r="W30" s="57"/>
      <c r="X30" s="57"/>
      <c r="Y30" s="57"/>
      <c r="Z30" s="57"/>
      <c r="AA30" s="57"/>
      <c r="AB30" s="57"/>
      <c r="AC30" s="57"/>
      <c r="AD30" s="57"/>
      <c r="AE30" s="57"/>
      <c r="AF30" s="57"/>
      <c r="AG30" s="57"/>
      <c r="AH30" s="57"/>
      <c r="AI30" s="57"/>
      <c r="AJ30" s="57"/>
      <c r="AK30" s="57"/>
      <c r="AL30" s="57"/>
      <c r="AM30" s="57"/>
      <c r="AN30" s="57"/>
      <c r="AO30" s="57"/>
      <c r="AP30" s="57"/>
      <c r="AQ30" s="57"/>
      <c r="AR30" s="57"/>
      <c r="AS30" s="57"/>
      <c r="AT30" s="57"/>
      <c r="AU30" s="57"/>
      <c r="AV30" s="57"/>
      <c r="AW30" s="57"/>
      <c r="AX30" s="57"/>
      <c r="AY30" s="57"/>
      <c r="AZ30" s="57"/>
      <c r="BA30" s="57"/>
      <c r="BB30" s="57"/>
      <c r="BC30" s="57"/>
      <c r="BD30" s="57"/>
      <c r="BE30" s="57"/>
      <c r="BF30" s="57"/>
      <c r="BG30" s="57"/>
      <c r="BH30" s="57"/>
      <c r="BI30" s="57"/>
      <c r="BJ30" s="57"/>
      <c r="BK30" s="57"/>
      <c r="BL30" s="57"/>
      <c r="BM30" s="57"/>
      <c r="BN30" s="57"/>
      <c r="BO30" s="57"/>
      <c r="BP30" s="57"/>
      <c r="BQ30" s="57"/>
      <c r="BR30" s="57"/>
      <c r="BS30" s="57"/>
      <c r="BT30" s="57"/>
      <c r="BU30" s="57"/>
      <c r="BV30" s="57"/>
      <c r="BW30" s="57"/>
      <c r="BX30" s="57"/>
      <c r="BY30" s="57"/>
      <c r="BZ30" s="57"/>
      <c r="CA30" s="57"/>
      <c r="CB30" s="57"/>
      <c r="CC30" s="57"/>
      <c r="CD30" s="57"/>
      <c r="CE30" s="57"/>
      <c r="CF30" s="57"/>
      <c r="CG30" s="57"/>
      <c r="CH30" s="57"/>
      <c r="CI30" s="57"/>
      <c r="CJ30" s="57"/>
      <c r="CK30" s="57"/>
      <c r="CL30" s="57"/>
      <c r="CM30" s="57"/>
      <c r="CN30" s="57"/>
      <c r="CO30" s="57"/>
      <c r="CP30" s="57"/>
      <c r="CQ30" s="57"/>
      <c r="CR30" s="57"/>
      <c r="CS30" s="57"/>
      <c r="CT30" s="57"/>
      <c r="CU30" s="57"/>
      <c r="CV30" s="57"/>
      <c r="CW30" s="57"/>
      <c r="CX30" s="57"/>
      <c r="CY30" s="57"/>
      <c r="CZ30" s="57"/>
      <c r="DA30" s="57"/>
      <c r="DB30" s="57"/>
      <c r="DC30" s="57"/>
      <c r="DD30" s="57"/>
      <c r="DE30" s="57"/>
      <c r="DF30" s="57"/>
      <c r="DG30" s="57"/>
      <c r="DH30" s="57"/>
      <c r="DI30" s="57"/>
      <c r="DJ30" s="57"/>
      <c r="DK30" s="57"/>
      <c r="DL30" s="57"/>
      <c r="DM30" s="57"/>
      <c r="DN30" s="57"/>
      <c r="DO30" s="57"/>
      <c r="DP30" s="57"/>
      <c r="DQ30" s="57"/>
      <c r="DR30" s="57"/>
      <c r="DS30" s="57"/>
      <c r="DT30" s="57"/>
      <c r="DU30" s="57"/>
      <c r="DV30" s="57"/>
      <c r="DW30" s="57"/>
      <c r="DX30" s="57"/>
      <c r="DY30" s="57"/>
      <c r="DZ30" s="57"/>
      <c r="EA30" s="57"/>
      <c r="EB30" s="57"/>
      <c r="EC30" s="57"/>
      <c r="ED30" s="57"/>
      <c r="EE30" s="57"/>
      <c r="EF30" s="57"/>
      <c r="EG30" s="57"/>
      <c r="EH30" s="57"/>
      <c r="EI30" s="57"/>
      <c r="EJ30" s="57"/>
      <c r="EK30" s="57"/>
      <c r="EL30" s="57"/>
      <c r="EM30" s="57"/>
      <c r="EN30" s="57"/>
      <c r="EO30" s="57"/>
      <c r="EP30" s="57"/>
      <c r="EQ30" s="57"/>
      <c r="ER30" s="57"/>
      <c r="ES30" s="57"/>
      <c r="ET30" s="57"/>
      <c r="EU30" s="57"/>
      <c r="EV30" s="57"/>
      <c r="EW30" s="57"/>
      <c r="EX30" s="57"/>
      <c r="EY30" s="57"/>
      <c r="EZ30" s="57"/>
      <c r="FA30" s="57"/>
      <c r="FB30" s="57"/>
      <c r="FC30" s="57"/>
      <c r="FD30" s="57"/>
      <c r="FE30" s="57"/>
      <c r="FF30" s="57"/>
      <c r="FG30" s="57"/>
      <c r="FH30" s="57"/>
      <c r="FI30" s="57"/>
      <c r="FJ30" s="57"/>
      <c r="FK30" s="57"/>
      <c r="FL30" s="57"/>
      <c r="FM30" s="57"/>
      <c r="FN30" s="57"/>
      <c r="FO30" s="57"/>
      <c r="FP30" s="57"/>
      <c r="FQ30" s="57"/>
      <c r="FR30" s="57"/>
      <c r="FS30" s="57"/>
      <c r="FT30" s="57"/>
      <c r="FU30" s="57"/>
      <c r="FV30" s="57"/>
      <c r="FW30" s="57"/>
      <c r="FX30" s="57"/>
      <c r="FY30" s="57"/>
      <c r="FZ30" s="57"/>
      <c r="GA30" s="57"/>
      <c r="GB30" s="57"/>
      <c r="GC30" s="57"/>
      <c r="GD30" s="57"/>
      <c r="GE30" s="57"/>
      <c r="GF30" s="57"/>
      <c r="GG30" s="57"/>
      <c r="GH30" s="57"/>
      <c r="GI30" s="57"/>
      <c r="GJ30" s="57"/>
      <c r="GK30" s="57"/>
      <c r="GL30" s="57"/>
      <c r="GM30" s="57"/>
      <c r="GN30" s="57"/>
      <c r="GO30" s="57"/>
      <c r="GP30" s="57"/>
      <c r="GQ30" s="57"/>
      <c r="GR30" s="57"/>
      <c r="GS30" s="57"/>
      <c r="GT30" s="57"/>
      <c r="GU30" s="57"/>
      <c r="GV30" s="57"/>
      <c r="GW30" s="57"/>
      <c r="GX30" s="57"/>
      <c r="GY30" s="57"/>
      <c r="GZ30" s="57"/>
      <c r="HA30" s="57"/>
      <c r="HB30" s="57"/>
      <c r="HC30" s="57"/>
      <c r="HD30" s="57"/>
      <c r="HE30" s="57"/>
      <c r="HF30" s="57"/>
      <c r="HG30" s="57"/>
      <c r="HH30" s="57"/>
      <c r="HI30" s="57"/>
      <c r="HJ30" s="57"/>
      <c r="HK30" s="57"/>
      <c r="HL30" s="57"/>
      <c r="HM30" s="57"/>
      <c r="HN30" s="57"/>
      <c r="HO30" s="57"/>
      <c r="HP30" s="57"/>
      <c r="HQ30" s="57"/>
      <c r="HR30" s="57"/>
      <c r="HS30" s="57"/>
      <c r="HT30" s="57"/>
      <c r="HU30" s="57"/>
      <c r="HV30" s="57"/>
      <c r="HW30" s="57"/>
      <c r="HX30" s="57"/>
      <c r="HY30" s="57"/>
      <c r="HZ30" s="57"/>
      <c r="IA30" s="57"/>
      <c r="IB30" s="57"/>
      <c r="IC30" s="57"/>
      <c r="ID30" s="57"/>
      <c r="IE30" s="57"/>
      <c r="IF30" s="57"/>
      <c r="IG30" s="57"/>
      <c r="IH30" s="57"/>
      <c r="II30" s="57"/>
      <c r="IJ30" s="57"/>
      <c r="IK30" s="57"/>
      <c r="IL30" s="57"/>
      <c r="IM30" s="57"/>
      <c r="IN30" s="57"/>
      <c r="IO30" s="57"/>
      <c r="IP30" s="57"/>
      <c r="IQ30" s="57"/>
      <c r="IR30" s="57"/>
      <c r="IS30" s="57"/>
      <c r="IT30" s="57"/>
      <c r="IU30" s="57"/>
      <c r="IV30" s="57"/>
      <c r="IW30" s="57"/>
      <c r="IX30" s="57"/>
      <c r="IY30" s="57"/>
      <c r="IZ30" s="57"/>
      <c r="JA30" s="57"/>
      <c r="JB30" s="57"/>
      <c r="JC30" s="57"/>
      <c r="JD30" s="57"/>
      <c r="JE30" s="57"/>
      <c r="JF30" s="57"/>
      <c r="JG30" s="57"/>
      <c r="JH30" s="57"/>
      <c r="JI30" s="57"/>
      <c r="JJ30" s="57"/>
      <c r="JK30" s="57"/>
      <c r="JL30" s="57"/>
      <c r="JM30" s="57"/>
      <c r="JN30" s="57"/>
      <c r="JO30" s="57"/>
      <c r="JP30" s="57"/>
      <c r="JQ30" s="57"/>
      <c r="JR30" s="57"/>
      <c r="JS30" s="57"/>
      <c r="JT30" s="57"/>
      <c r="JU30" s="57"/>
      <c r="JV30" s="57"/>
      <c r="JW30" s="57"/>
      <c r="JX30" s="57"/>
      <c r="JY30" s="57"/>
      <c r="JZ30" s="57"/>
      <c r="KA30" s="57"/>
      <c r="KB30" s="57"/>
      <c r="KC30" s="57"/>
      <c r="KD30" s="57"/>
      <c r="KE30" s="57"/>
      <c r="KF30" s="57"/>
      <c r="KG30" s="57"/>
      <c r="KH30" s="57"/>
      <c r="KI30" s="57"/>
      <c r="KJ30" s="57"/>
      <c r="KK30" s="57"/>
      <c r="KL30" s="57"/>
      <c r="KM30" s="57"/>
      <c r="KN30" s="57"/>
      <c r="KO30" s="57"/>
      <c r="KP30" s="57"/>
      <c r="KQ30" s="57"/>
      <c r="KR30" s="57"/>
      <c r="KS30" s="57"/>
      <c r="KT30" s="57"/>
      <c r="KU30" s="57"/>
      <c r="KV30" s="57"/>
      <c r="KW30" s="57"/>
      <c r="KX30" s="57"/>
      <c r="KY30" s="57"/>
      <c r="KZ30" s="57"/>
      <c r="LA30" s="57"/>
      <c r="LB30" s="57"/>
      <c r="LC30" s="57"/>
      <c r="LD30" s="57"/>
      <c r="LE30" s="57"/>
      <c r="LF30" s="57"/>
      <c r="LG30" s="57"/>
      <c r="LH30" s="57"/>
      <c r="LI30" s="57"/>
      <c r="LJ30" s="57"/>
      <c r="LK30" s="57"/>
      <c r="LL30" s="57"/>
      <c r="LM30" s="57"/>
      <c r="LN30" s="57"/>
      <c r="LO30" s="57"/>
      <c r="LP30" s="57"/>
      <c r="LQ30" s="57"/>
      <c r="LR30" s="57"/>
      <c r="LS30" s="57"/>
      <c r="LT30" s="57"/>
      <c r="LU30" s="57"/>
      <c r="LV30" s="57"/>
      <c r="LW30" s="57"/>
      <c r="LX30" s="57"/>
      <c r="LY30" s="57"/>
      <c r="LZ30" s="57"/>
      <c r="MA30" s="57"/>
      <c r="MB30" s="57"/>
      <c r="MC30" s="57"/>
      <c r="MD30" s="57"/>
      <c r="ME30" s="57"/>
      <c r="MF30" s="84"/>
      <c r="MG30" s="84"/>
      <c r="MH30" s="84"/>
      <c r="MI30" s="84"/>
      <c r="MJ30" s="84"/>
      <c r="MK30" s="84"/>
      <c r="ML30" s="84"/>
      <c r="MM30" s="84"/>
      <c r="MN30" s="84"/>
      <c r="MO30" s="84"/>
      <c r="MP30" s="84"/>
      <c r="MQ30" s="84"/>
      <c r="MR30" s="84"/>
      <c r="MS30" s="84"/>
      <c r="MT30" s="84"/>
      <c r="MU30" s="84"/>
      <c r="MV30" s="84"/>
      <c r="MW30" s="84"/>
      <c r="MX30" s="84"/>
      <c r="MY30" s="84"/>
      <c r="MZ30" s="84"/>
      <c r="NA30" s="84"/>
      <c r="NB30" s="84"/>
      <c r="NC30" s="84"/>
      <c r="ND30" s="84"/>
      <c r="NE30" s="84"/>
      <c r="NF30" s="84"/>
      <c r="NG30" s="84"/>
      <c r="NH30" s="84"/>
      <c r="NI30" s="84"/>
      <c r="NJ30" s="84"/>
      <c r="NK30" s="84"/>
      <c r="NL30" s="84"/>
      <c r="NM30" s="84"/>
      <c r="NN30" s="84"/>
      <c r="NO30" s="84"/>
      <c r="NP30" s="84"/>
      <c r="NQ30" s="84"/>
      <c r="NR30" s="84"/>
      <c r="NS30" s="84"/>
      <c r="NT30" s="84"/>
      <c r="NU30" s="84"/>
      <c r="NV30" s="84"/>
      <c r="NW30" s="84"/>
      <c r="NX30" s="84"/>
      <c r="NY30" s="84"/>
      <c r="NZ30" s="84"/>
      <c r="OA30" s="84"/>
      <c r="OB30" s="84"/>
      <c r="OC30" s="84"/>
      <c r="OD30" s="84"/>
      <c r="OE30" s="84"/>
      <c r="OF30" s="84"/>
      <c r="OG30" s="84"/>
      <c r="OH30" s="84"/>
      <c r="OI30" s="84"/>
      <c r="OJ30" s="84"/>
      <c r="OK30" s="84"/>
      <c r="OL30" s="84"/>
      <c r="OM30" s="84"/>
      <c r="ON30" s="84"/>
      <c r="OO30" s="84"/>
      <c r="OP30" s="84"/>
      <c r="OQ30" s="84"/>
      <c r="OR30" s="84"/>
      <c r="OS30" s="84"/>
      <c r="OT30" s="84"/>
      <c r="OU30" s="84"/>
      <c r="OV30" s="84"/>
      <c r="OW30" s="84"/>
      <c r="OX30" s="84"/>
      <c r="OY30" s="84"/>
      <c r="OZ30" s="84"/>
      <c r="PA30" s="84"/>
      <c r="PB30" s="84"/>
      <c r="PC30" s="84"/>
      <c r="PD30" s="84"/>
      <c r="PE30" s="84"/>
      <c r="PF30" s="84"/>
      <c r="PG30" s="84"/>
      <c r="PH30" s="84"/>
      <c r="PI30" s="84"/>
      <c r="PJ30" s="84"/>
      <c r="PK30" s="84"/>
      <c r="PL30" s="84"/>
      <c r="PM30" s="84"/>
      <c r="PN30" s="84"/>
      <c r="PO30" s="84"/>
      <c r="PP30" s="84"/>
      <c r="PQ30" s="84"/>
      <c r="PR30" s="84"/>
      <c r="PS30" s="84"/>
      <c r="PT30" s="84"/>
      <c r="PU30" s="84"/>
      <c r="PV30" s="84"/>
      <c r="PW30" s="84"/>
      <c r="PX30" s="84"/>
      <c r="PY30" s="84"/>
      <c r="PZ30" s="84"/>
      <c r="QA30" s="84"/>
      <c r="QB30" s="84"/>
      <c r="QC30" s="84"/>
      <c r="QD30" s="84"/>
      <c r="QE30" s="84"/>
      <c r="QF30" s="84"/>
      <c r="QG30" s="84"/>
      <c r="QH30" s="84"/>
      <c r="QI30" s="84"/>
      <c r="QJ30" s="84"/>
      <c r="QK30" s="84"/>
      <c r="QL30" s="84"/>
      <c r="QM30" s="84"/>
      <c r="QN30" s="84"/>
      <c r="QO30" s="84"/>
      <c r="QP30" s="84"/>
      <c r="QQ30" s="84"/>
      <c r="QR30" s="84"/>
      <c r="QS30" s="84"/>
      <c r="QT30" s="84"/>
      <c r="QU30" s="84"/>
      <c r="QV30" s="84"/>
      <c r="QW30" s="84"/>
      <c r="QX30" s="84"/>
      <c r="QY30" s="84"/>
      <c r="QZ30" s="84"/>
      <c r="RA30" s="84"/>
      <c r="RB30" s="84"/>
      <c r="RC30" s="84"/>
      <c r="RD30" s="84"/>
      <c r="RE30" s="84"/>
      <c r="RF30" s="84"/>
      <c r="RG30" s="84"/>
      <c r="RH30" s="84"/>
      <c r="RI30" s="84"/>
      <c r="RJ30" s="84"/>
      <c r="RK30" s="84"/>
      <c r="RL30" s="84"/>
      <c r="RM30" s="84"/>
      <c r="RN30" s="84"/>
      <c r="RO30" s="84"/>
      <c r="RP30" s="84"/>
      <c r="RQ30" s="84"/>
      <c r="RR30" s="84"/>
      <c r="RS30" s="84"/>
      <c r="RT30" s="84"/>
      <c r="RU30" s="84"/>
      <c r="RV30" s="84"/>
      <c r="RW30" s="84"/>
      <c r="RX30" s="84"/>
      <c r="RY30" s="84"/>
      <c r="RZ30" s="84"/>
      <c r="SA30" s="84"/>
      <c r="SB30" s="84"/>
      <c r="SC30" s="84"/>
      <c r="SD30" s="84"/>
      <c r="SE30" s="84"/>
      <c r="SF30" s="84"/>
      <c r="SG30" s="84"/>
      <c r="SH30" s="84"/>
      <c r="SI30" s="84"/>
      <c r="SJ30" s="84"/>
      <c r="SK30" s="84"/>
      <c r="SL30" s="84"/>
      <c r="SM30" s="84"/>
      <c r="SN30" s="84"/>
      <c r="SO30" s="84"/>
      <c r="SP30" s="84"/>
      <c r="SQ30" s="84"/>
      <c r="SR30" s="84"/>
      <c r="SS30" s="84"/>
      <c r="ST30" s="84"/>
      <c r="SU30" s="84"/>
      <c r="SV30" s="84"/>
      <c r="SW30" s="84"/>
      <c r="SX30" s="84"/>
      <c r="SY30" s="84"/>
      <c r="SZ30" s="84"/>
      <c r="TA30" s="84"/>
      <c r="TB30" s="84"/>
      <c r="TC30" s="84"/>
      <c r="TD30" s="84"/>
      <c r="TE30" s="84"/>
      <c r="TF30" s="84"/>
      <c r="TG30" s="84"/>
      <c r="TH30" s="84"/>
      <c r="TI30" s="84"/>
      <c r="TJ30" s="84"/>
      <c r="TK30" s="84"/>
      <c r="TL30" s="84"/>
      <c r="TM30" s="84"/>
      <c r="TN30" s="84"/>
      <c r="TO30" s="84"/>
      <c r="TP30" s="84"/>
      <c r="TQ30" s="84"/>
      <c r="TR30" s="84"/>
      <c r="TS30" s="84"/>
      <c r="TT30" s="84"/>
      <c r="TU30" s="84"/>
      <c r="TV30" s="84"/>
      <c r="TW30" s="84"/>
      <c r="TX30" s="84"/>
      <c r="TY30" s="84"/>
      <c r="TZ30" s="84"/>
      <c r="UA30" s="84"/>
      <c r="UB30" s="84"/>
      <c r="UC30" s="84"/>
      <c r="UD30" s="84"/>
      <c r="UE30" s="84"/>
      <c r="UF30" s="84"/>
      <c r="UG30" s="84"/>
      <c r="UH30" s="84"/>
      <c r="UI30" s="84"/>
      <c r="UJ30" s="84"/>
      <c r="UK30" s="84"/>
      <c r="UL30" s="84"/>
      <c r="UM30" s="84"/>
      <c r="UN30" s="84"/>
      <c r="UO30" s="84"/>
      <c r="UP30" s="84"/>
      <c r="UQ30" s="84"/>
      <c r="UR30" s="84"/>
      <c r="US30" s="84"/>
      <c r="UT30" s="84"/>
      <c r="UU30" s="84"/>
      <c r="UV30" s="84"/>
      <c r="UW30" s="84"/>
      <c r="UX30" s="84"/>
      <c r="UY30" s="84"/>
      <c r="UZ30" s="84"/>
      <c r="VA30" s="84"/>
      <c r="VB30" s="84"/>
      <c r="VC30" s="84"/>
      <c r="VD30" s="84"/>
      <c r="VE30" s="84"/>
      <c r="VF30" s="84"/>
      <c r="VG30" s="84"/>
      <c r="VH30" s="84"/>
      <c r="VI30" s="84"/>
      <c r="VJ30" s="84"/>
      <c r="VK30" s="84"/>
      <c r="VL30" s="84"/>
      <c r="VM30" s="84"/>
      <c r="VN30" s="84"/>
      <c r="VO30" s="84"/>
      <c r="VP30" s="84"/>
      <c r="VQ30" s="84"/>
      <c r="VR30" s="84"/>
      <c r="VS30" s="84"/>
      <c r="VT30" s="84"/>
      <c r="VU30" s="84"/>
      <c r="VV30" s="84"/>
      <c r="VW30" s="84"/>
      <c r="VX30" s="84"/>
      <c r="VY30" s="84"/>
      <c r="VZ30" s="84"/>
      <c r="WA30" s="84"/>
      <c r="WB30" s="84"/>
      <c r="WC30" s="84"/>
      <c r="WD30" s="84"/>
      <c r="WE30" s="84"/>
      <c r="WF30" s="84"/>
      <c r="WG30" s="84"/>
      <c r="WH30" s="84"/>
      <c r="WI30" s="84"/>
      <c r="WJ30" s="84"/>
      <c r="WK30" s="84"/>
      <c r="WL30" s="84"/>
      <c r="WM30" s="84"/>
      <c r="WN30" s="84"/>
      <c r="WO30" s="84"/>
      <c r="WP30" s="84"/>
      <c r="WQ30" s="84"/>
      <c r="WR30" s="84"/>
      <c r="WS30" s="84"/>
      <c r="WT30" s="84"/>
      <c r="WU30" s="84"/>
      <c r="WV30" s="84"/>
      <c r="WW30" s="84"/>
      <c r="WX30" s="84"/>
      <c r="WY30" s="84"/>
      <c r="WZ30" s="84"/>
      <c r="XA30" s="84"/>
      <c r="XB30" s="84"/>
      <c r="XC30" s="84"/>
      <c r="XD30" s="84"/>
      <c r="XE30" s="84"/>
      <c r="XF30" s="84"/>
      <c r="XG30" s="84"/>
      <c r="XH30" s="84"/>
      <c r="XI30" s="84"/>
      <c r="XJ30" s="84"/>
      <c r="XK30" s="84"/>
      <c r="XL30" s="84"/>
      <c r="XM30" s="84"/>
      <c r="XN30" s="84"/>
      <c r="XO30" s="84"/>
      <c r="XP30" s="84"/>
      <c r="XQ30" s="84"/>
      <c r="XR30" s="84"/>
      <c r="XS30" s="84"/>
      <c r="XT30" s="84"/>
      <c r="XU30" s="84"/>
      <c r="XV30" s="84"/>
      <c r="XW30" s="84"/>
      <c r="XX30" s="84"/>
      <c r="XY30" s="84"/>
      <c r="XZ30" s="84"/>
      <c r="YA30" s="84"/>
      <c r="YB30" s="84"/>
      <c r="YC30" s="84"/>
      <c r="YD30" s="84"/>
      <c r="YE30" s="84"/>
      <c r="YF30" s="84"/>
      <c r="YG30" s="84"/>
      <c r="YH30" s="84"/>
      <c r="YI30" s="84"/>
      <c r="YJ30" s="84"/>
      <c r="YK30" s="84"/>
      <c r="YL30" s="84"/>
      <c r="YM30" s="84"/>
      <c r="YN30" s="84"/>
      <c r="YO30" s="84"/>
      <c r="YP30" s="84"/>
      <c r="YQ30" s="84"/>
      <c r="YR30" s="84"/>
      <c r="YS30" s="84"/>
      <c r="YT30" s="84"/>
      <c r="YU30" s="84"/>
      <c r="YV30" s="84"/>
      <c r="YW30" s="84"/>
      <c r="YX30" s="84"/>
      <c r="YY30" s="84"/>
      <c r="YZ30" s="84"/>
    </row>
    <row r="31" spans="1:676" s="85" customFormat="1" ht="24" customHeight="1">
      <c r="A31" s="68"/>
      <c r="B31" s="239" t="str">
        <f>"Verbleibende Kosten je Gruppe bei "&amp;E6*100&amp;"% Auslastung"</f>
        <v>Verbleibende Kosten je Gruppe bei 48,96% Auslastung</v>
      </c>
      <c r="C31" s="240">
        <f ca="1">(C28-C29)*C24</f>
        <v>8345.1451633370452</v>
      </c>
      <c r="D31" s="240">
        <f ca="1">(D28-D29)*D24</f>
        <v>6206.087397071582</v>
      </c>
      <c r="E31" s="240">
        <f ca="1">(E28-E29)*E24</f>
        <v>617434.70592800528</v>
      </c>
      <c r="F31" s="241">
        <f ca="1">SUM(C31:E31)</f>
        <v>631985.93848841393</v>
      </c>
      <c r="G31" s="223"/>
      <c r="H31" s="223"/>
      <c r="I31" s="239" t="str">
        <f>"Verbleibende Kosten je Gruppe bei "&amp;J6*100&amp;"% Auslastung"</f>
        <v>Verbleibende Kosten je Gruppe bei 47,62% Auslastung</v>
      </c>
      <c r="J31" s="240">
        <f ca="1">(J28-J29)*J24</f>
        <v>-24968.089854714373</v>
      </c>
      <c r="K31" s="240">
        <f ca="1">(K28-K29)*K24</f>
        <v>486367.55623770581</v>
      </c>
      <c r="L31" s="241">
        <f ca="1">SUM(J31:K31)</f>
        <v>461399.46638299141</v>
      </c>
      <c r="M31" s="254"/>
      <c r="N31" s="57"/>
      <c r="O31" s="57"/>
      <c r="P31" s="57"/>
      <c r="Q31" s="57"/>
      <c r="R31" s="57"/>
      <c r="S31" s="57"/>
      <c r="T31" s="57"/>
      <c r="U31" s="57"/>
      <c r="V31" s="57"/>
      <c r="W31" s="57"/>
      <c r="X31" s="57"/>
      <c r="Y31" s="57"/>
      <c r="Z31" s="57"/>
      <c r="AA31" s="57"/>
      <c r="AB31" s="57"/>
      <c r="AC31" s="57"/>
      <c r="AD31" s="57"/>
      <c r="AE31" s="57"/>
      <c r="AF31" s="57"/>
      <c r="AG31" s="57"/>
      <c r="AH31" s="57"/>
      <c r="AI31" s="57"/>
      <c r="AJ31" s="57"/>
      <c r="AK31" s="57"/>
      <c r="AL31" s="57"/>
      <c r="AM31" s="57"/>
      <c r="AN31" s="57"/>
      <c r="AO31" s="57"/>
      <c r="AP31" s="57"/>
      <c r="AQ31" s="57"/>
      <c r="AR31" s="57"/>
      <c r="AS31" s="57"/>
      <c r="AT31" s="57"/>
      <c r="AU31" s="57"/>
      <c r="AV31" s="57"/>
      <c r="AW31" s="57"/>
      <c r="AX31" s="57"/>
      <c r="AY31" s="57"/>
      <c r="AZ31" s="57"/>
      <c r="BA31" s="57"/>
      <c r="BB31" s="57"/>
      <c r="BC31" s="57"/>
      <c r="BD31" s="57"/>
      <c r="BE31" s="57"/>
      <c r="BF31" s="57"/>
      <c r="BG31" s="57"/>
      <c r="BH31" s="57"/>
      <c r="BI31" s="57"/>
      <c r="BJ31" s="57"/>
      <c r="BK31" s="57"/>
      <c r="BL31" s="57"/>
      <c r="BM31" s="57"/>
      <c r="BN31" s="57"/>
      <c r="BO31" s="57"/>
      <c r="BP31" s="57"/>
      <c r="BQ31" s="57"/>
      <c r="BR31" s="57"/>
      <c r="BS31" s="57"/>
      <c r="BT31" s="57"/>
      <c r="BU31" s="57"/>
      <c r="BV31" s="57"/>
      <c r="BW31" s="57"/>
      <c r="BX31" s="57"/>
      <c r="BY31" s="57"/>
      <c r="BZ31" s="57"/>
      <c r="CA31" s="57"/>
      <c r="CB31" s="57"/>
      <c r="CC31" s="57"/>
      <c r="CD31" s="57"/>
      <c r="CE31" s="57"/>
      <c r="CF31" s="57"/>
      <c r="CG31" s="57"/>
      <c r="CH31" s="57"/>
      <c r="CI31" s="57"/>
      <c r="CJ31" s="57"/>
      <c r="CK31" s="57"/>
      <c r="CL31" s="57"/>
      <c r="CM31" s="57"/>
      <c r="CN31" s="57"/>
      <c r="CO31" s="57"/>
      <c r="CP31" s="57"/>
      <c r="CQ31" s="57"/>
      <c r="CR31" s="57"/>
      <c r="CS31" s="57"/>
      <c r="CT31" s="57"/>
      <c r="CU31" s="57"/>
      <c r="CV31" s="57"/>
      <c r="CW31" s="57"/>
      <c r="CX31" s="57"/>
      <c r="CY31" s="57"/>
      <c r="CZ31" s="57"/>
      <c r="DA31" s="57"/>
      <c r="DB31" s="57"/>
      <c r="DC31" s="57"/>
      <c r="DD31" s="57"/>
      <c r="DE31" s="57"/>
      <c r="DF31" s="57"/>
      <c r="DG31" s="57"/>
      <c r="DH31" s="57"/>
      <c r="DI31" s="57"/>
      <c r="DJ31" s="57"/>
      <c r="DK31" s="57"/>
      <c r="DL31" s="57"/>
      <c r="DM31" s="57"/>
      <c r="DN31" s="57"/>
      <c r="DO31" s="57"/>
      <c r="DP31" s="57"/>
      <c r="DQ31" s="57"/>
      <c r="DR31" s="57"/>
      <c r="DS31" s="57"/>
      <c r="DT31" s="57"/>
      <c r="DU31" s="57"/>
      <c r="DV31" s="57"/>
      <c r="DW31" s="57"/>
      <c r="DX31" s="57"/>
      <c r="DY31" s="57"/>
      <c r="DZ31" s="57"/>
      <c r="EA31" s="57"/>
      <c r="EB31" s="57"/>
      <c r="EC31" s="57"/>
      <c r="ED31" s="57"/>
      <c r="EE31" s="57"/>
      <c r="EF31" s="57"/>
      <c r="EG31" s="57"/>
      <c r="EH31" s="57"/>
      <c r="EI31" s="57"/>
      <c r="EJ31" s="57"/>
      <c r="EK31" s="57"/>
      <c r="EL31" s="57"/>
      <c r="EM31" s="57"/>
      <c r="EN31" s="57"/>
      <c r="EO31" s="57"/>
      <c r="EP31" s="57"/>
      <c r="EQ31" s="57"/>
      <c r="ER31" s="57"/>
      <c r="ES31" s="57"/>
      <c r="ET31" s="57"/>
      <c r="EU31" s="57"/>
      <c r="EV31" s="57"/>
      <c r="EW31" s="57"/>
      <c r="EX31" s="57"/>
      <c r="EY31" s="57"/>
      <c r="EZ31" s="57"/>
      <c r="FA31" s="57"/>
      <c r="FB31" s="57"/>
      <c r="FC31" s="57"/>
      <c r="FD31" s="57"/>
      <c r="FE31" s="57"/>
      <c r="FF31" s="57"/>
      <c r="FG31" s="57"/>
      <c r="FH31" s="57"/>
      <c r="FI31" s="57"/>
      <c r="FJ31" s="57"/>
      <c r="FK31" s="57"/>
      <c r="FL31" s="57"/>
      <c r="FM31" s="57"/>
      <c r="FN31" s="57"/>
      <c r="FO31" s="57"/>
      <c r="FP31" s="57"/>
      <c r="FQ31" s="57"/>
      <c r="FR31" s="57"/>
      <c r="FS31" s="57"/>
      <c r="FT31" s="57"/>
      <c r="FU31" s="57"/>
      <c r="FV31" s="57"/>
      <c r="FW31" s="57"/>
      <c r="FX31" s="57"/>
      <c r="FY31" s="57"/>
      <c r="FZ31" s="57"/>
      <c r="GA31" s="57"/>
      <c r="GB31" s="57"/>
      <c r="GC31" s="57"/>
      <c r="GD31" s="57"/>
      <c r="GE31" s="57"/>
      <c r="GF31" s="57"/>
      <c r="GG31" s="57"/>
      <c r="GH31" s="57"/>
      <c r="GI31" s="57"/>
      <c r="GJ31" s="57"/>
      <c r="GK31" s="57"/>
      <c r="GL31" s="57"/>
      <c r="GM31" s="57"/>
      <c r="GN31" s="57"/>
      <c r="GO31" s="57"/>
      <c r="GP31" s="57"/>
      <c r="GQ31" s="57"/>
      <c r="GR31" s="57"/>
      <c r="GS31" s="57"/>
      <c r="GT31" s="57"/>
      <c r="GU31" s="57"/>
      <c r="GV31" s="57"/>
      <c r="GW31" s="57"/>
      <c r="GX31" s="57"/>
      <c r="GY31" s="57"/>
      <c r="GZ31" s="57"/>
      <c r="HA31" s="57"/>
      <c r="HB31" s="57"/>
      <c r="HC31" s="57"/>
      <c r="HD31" s="57"/>
      <c r="HE31" s="57"/>
      <c r="HF31" s="57"/>
      <c r="HG31" s="57"/>
      <c r="HH31" s="57"/>
      <c r="HI31" s="57"/>
      <c r="HJ31" s="57"/>
      <c r="HK31" s="57"/>
      <c r="HL31" s="57"/>
      <c r="HM31" s="57"/>
      <c r="HN31" s="57"/>
      <c r="HO31" s="57"/>
      <c r="HP31" s="57"/>
      <c r="HQ31" s="57"/>
      <c r="HR31" s="57"/>
      <c r="HS31" s="57"/>
      <c r="HT31" s="57"/>
      <c r="HU31" s="57"/>
      <c r="HV31" s="57"/>
      <c r="HW31" s="57"/>
      <c r="HX31" s="57"/>
      <c r="HY31" s="57"/>
      <c r="HZ31" s="57"/>
      <c r="IA31" s="57"/>
      <c r="IB31" s="57"/>
      <c r="IC31" s="57"/>
      <c r="ID31" s="57"/>
      <c r="IE31" s="57"/>
      <c r="IF31" s="57"/>
      <c r="IG31" s="57"/>
      <c r="IH31" s="57"/>
      <c r="II31" s="57"/>
      <c r="IJ31" s="57"/>
      <c r="IK31" s="57"/>
      <c r="IL31" s="57"/>
      <c r="IM31" s="57"/>
      <c r="IN31" s="57"/>
      <c r="IO31" s="57"/>
      <c r="IP31" s="57"/>
      <c r="IQ31" s="57"/>
      <c r="IR31" s="57"/>
      <c r="IS31" s="57"/>
      <c r="IT31" s="57"/>
      <c r="IU31" s="57"/>
      <c r="IV31" s="57"/>
      <c r="IW31" s="57"/>
      <c r="IX31" s="57"/>
      <c r="IY31" s="57"/>
      <c r="IZ31" s="57"/>
      <c r="JA31" s="57"/>
      <c r="JB31" s="57"/>
      <c r="JC31" s="57"/>
      <c r="JD31" s="57"/>
      <c r="JE31" s="57"/>
      <c r="JF31" s="57"/>
      <c r="JG31" s="57"/>
      <c r="JH31" s="57"/>
      <c r="JI31" s="57"/>
      <c r="JJ31" s="57"/>
      <c r="JK31" s="57"/>
      <c r="JL31" s="57"/>
      <c r="JM31" s="57"/>
      <c r="JN31" s="57"/>
      <c r="JO31" s="57"/>
      <c r="JP31" s="57"/>
      <c r="JQ31" s="57"/>
      <c r="JR31" s="57"/>
      <c r="JS31" s="57"/>
      <c r="JT31" s="57"/>
      <c r="JU31" s="57"/>
      <c r="JV31" s="57"/>
      <c r="JW31" s="57"/>
      <c r="JX31" s="57"/>
      <c r="JY31" s="57"/>
      <c r="JZ31" s="57"/>
      <c r="KA31" s="57"/>
      <c r="KB31" s="57"/>
      <c r="KC31" s="57"/>
      <c r="KD31" s="57"/>
      <c r="KE31" s="57"/>
      <c r="KF31" s="57"/>
      <c r="KG31" s="57"/>
      <c r="KH31" s="57"/>
      <c r="KI31" s="57"/>
      <c r="KJ31" s="57"/>
      <c r="KK31" s="57"/>
      <c r="KL31" s="57"/>
      <c r="KM31" s="57"/>
      <c r="KN31" s="57"/>
      <c r="KO31" s="57"/>
      <c r="KP31" s="57"/>
      <c r="KQ31" s="57"/>
      <c r="KR31" s="57"/>
      <c r="KS31" s="57"/>
      <c r="KT31" s="57"/>
      <c r="KU31" s="57"/>
      <c r="KV31" s="57"/>
      <c r="KW31" s="57"/>
      <c r="KX31" s="57"/>
      <c r="KY31" s="57"/>
      <c r="KZ31" s="57"/>
      <c r="LA31" s="57"/>
      <c r="LB31" s="57"/>
      <c r="LC31" s="57"/>
      <c r="LD31" s="57"/>
      <c r="LE31" s="57"/>
      <c r="LF31" s="57"/>
      <c r="LG31" s="57"/>
      <c r="LH31" s="57"/>
      <c r="LI31" s="57"/>
      <c r="LJ31" s="57"/>
      <c r="LK31" s="57"/>
      <c r="LL31" s="57"/>
      <c r="LM31" s="57"/>
      <c r="LN31" s="57"/>
      <c r="LO31" s="57"/>
      <c r="LP31" s="57"/>
      <c r="LQ31" s="57"/>
      <c r="LR31" s="57"/>
      <c r="LS31" s="57"/>
      <c r="LT31" s="57"/>
      <c r="LU31" s="57"/>
      <c r="LV31" s="57"/>
      <c r="LW31" s="57"/>
      <c r="LX31" s="57"/>
      <c r="LY31" s="57"/>
      <c r="LZ31" s="57"/>
      <c r="MA31" s="57"/>
      <c r="MB31" s="57"/>
      <c r="MC31" s="57"/>
      <c r="MD31" s="57"/>
      <c r="ME31" s="57"/>
      <c r="MF31" s="84"/>
      <c r="MG31" s="84"/>
      <c r="MH31" s="84"/>
      <c r="MI31" s="84"/>
      <c r="MJ31" s="84"/>
      <c r="MK31" s="84"/>
      <c r="ML31" s="84"/>
      <c r="MM31" s="84"/>
      <c r="MN31" s="84"/>
      <c r="MO31" s="84"/>
      <c r="MP31" s="84"/>
      <c r="MQ31" s="84"/>
      <c r="MR31" s="84"/>
      <c r="MS31" s="84"/>
      <c r="MT31" s="84"/>
      <c r="MU31" s="84"/>
      <c r="MV31" s="84"/>
      <c r="MW31" s="84"/>
      <c r="MX31" s="84"/>
      <c r="MY31" s="84"/>
      <c r="MZ31" s="84"/>
      <c r="NA31" s="84"/>
      <c r="NB31" s="84"/>
      <c r="NC31" s="84"/>
      <c r="ND31" s="84"/>
      <c r="NE31" s="84"/>
      <c r="NF31" s="84"/>
      <c r="NG31" s="84"/>
      <c r="NH31" s="84"/>
      <c r="NI31" s="84"/>
      <c r="NJ31" s="84"/>
      <c r="NK31" s="84"/>
      <c r="NL31" s="84"/>
      <c r="NM31" s="84"/>
      <c r="NN31" s="84"/>
      <c r="NO31" s="84"/>
      <c r="NP31" s="84"/>
      <c r="NQ31" s="84"/>
      <c r="NR31" s="84"/>
      <c r="NS31" s="84"/>
      <c r="NT31" s="84"/>
      <c r="NU31" s="84"/>
      <c r="NV31" s="84"/>
      <c r="NW31" s="84"/>
      <c r="NX31" s="84"/>
      <c r="NY31" s="84"/>
      <c r="NZ31" s="84"/>
      <c r="OA31" s="84"/>
      <c r="OB31" s="84"/>
      <c r="OC31" s="84"/>
      <c r="OD31" s="84"/>
      <c r="OE31" s="84"/>
      <c r="OF31" s="84"/>
      <c r="OG31" s="84"/>
      <c r="OH31" s="84"/>
      <c r="OI31" s="84"/>
      <c r="OJ31" s="84"/>
      <c r="OK31" s="84"/>
      <c r="OL31" s="84"/>
      <c r="OM31" s="84"/>
      <c r="ON31" s="84"/>
      <c r="OO31" s="84"/>
      <c r="OP31" s="84"/>
      <c r="OQ31" s="84"/>
      <c r="OR31" s="84"/>
      <c r="OS31" s="84"/>
      <c r="OT31" s="84"/>
      <c r="OU31" s="84"/>
      <c r="OV31" s="84"/>
      <c r="OW31" s="84"/>
      <c r="OX31" s="84"/>
      <c r="OY31" s="84"/>
      <c r="OZ31" s="84"/>
      <c r="PA31" s="84"/>
      <c r="PB31" s="84"/>
      <c r="PC31" s="84"/>
      <c r="PD31" s="84"/>
      <c r="PE31" s="84"/>
      <c r="PF31" s="84"/>
      <c r="PG31" s="84"/>
      <c r="PH31" s="84"/>
      <c r="PI31" s="84"/>
      <c r="PJ31" s="84"/>
      <c r="PK31" s="84"/>
      <c r="PL31" s="84"/>
      <c r="PM31" s="84"/>
      <c r="PN31" s="84"/>
      <c r="PO31" s="84"/>
      <c r="PP31" s="84"/>
      <c r="PQ31" s="84"/>
      <c r="PR31" s="84"/>
      <c r="PS31" s="84"/>
      <c r="PT31" s="84"/>
      <c r="PU31" s="84"/>
      <c r="PV31" s="84"/>
      <c r="PW31" s="84"/>
      <c r="PX31" s="84"/>
      <c r="PY31" s="84"/>
      <c r="PZ31" s="84"/>
      <c r="QA31" s="84"/>
      <c r="QB31" s="84"/>
      <c r="QC31" s="84"/>
      <c r="QD31" s="84"/>
      <c r="QE31" s="84"/>
      <c r="QF31" s="84"/>
      <c r="QG31" s="84"/>
      <c r="QH31" s="84"/>
      <c r="QI31" s="84"/>
      <c r="QJ31" s="84"/>
      <c r="QK31" s="84"/>
      <c r="QL31" s="84"/>
      <c r="QM31" s="84"/>
      <c r="QN31" s="84"/>
      <c r="QO31" s="84"/>
      <c r="QP31" s="84"/>
      <c r="QQ31" s="84"/>
      <c r="QR31" s="84"/>
      <c r="QS31" s="84"/>
      <c r="QT31" s="84"/>
      <c r="QU31" s="84"/>
      <c r="QV31" s="84"/>
      <c r="QW31" s="84"/>
      <c r="QX31" s="84"/>
      <c r="QY31" s="84"/>
      <c r="QZ31" s="84"/>
      <c r="RA31" s="84"/>
      <c r="RB31" s="84"/>
      <c r="RC31" s="84"/>
      <c r="RD31" s="84"/>
      <c r="RE31" s="84"/>
      <c r="RF31" s="84"/>
      <c r="RG31" s="84"/>
      <c r="RH31" s="84"/>
      <c r="RI31" s="84"/>
      <c r="RJ31" s="84"/>
      <c r="RK31" s="84"/>
      <c r="RL31" s="84"/>
      <c r="RM31" s="84"/>
      <c r="RN31" s="84"/>
      <c r="RO31" s="84"/>
      <c r="RP31" s="84"/>
      <c r="RQ31" s="84"/>
      <c r="RR31" s="84"/>
      <c r="RS31" s="84"/>
      <c r="RT31" s="84"/>
      <c r="RU31" s="84"/>
      <c r="RV31" s="84"/>
      <c r="RW31" s="84"/>
      <c r="RX31" s="84"/>
      <c r="RY31" s="84"/>
      <c r="RZ31" s="84"/>
      <c r="SA31" s="84"/>
      <c r="SB31" s="84"/>
      <c r="SC31" s="84"/>
      <c r="SD31" s="84"/>
      <c r="SE31" s="84"/>
      <c r="SF31" s="84"/>
      <c r="SG31" s="84"/>
      <c r="SH31" s="84"/>
      <c r="SI31" s="84"/>
      <c r="SJ31" s="84"/>
      <c r="SK31" s="84"/>
      <c r="SL31" s="84"/>
      <c r="SM31" s="84"/>
      <c r="SN31" s="84"/>
      <c r="SO31" s="84"/>
      <c r="SP31" s="84"/>
      <c r="SQ31" s="84"/>
      <c r="SR31" s="84"/>
      <c r="SS31" s="84"/>
      <c r="ST31" s="84"/>
      <c r="SU31" s="84"/>
      <c r="SV31" s="84"/>
      <c r="SW31" s="84"/>
      <c r="SX31" s="84"/>
      <c r="SY31" s="84"/>
      <c r="SZ31" s="84"/>
      <c r="TA31" s="84"/>
      <c r="TB31" s="84"/>
      <c r="TC31" s="84"/>
      <c r="TD31" s="84"/>
      <c r="TE31" s="84"/>
      <c r="TF31" s="84"/>
      <c r="TG31" s="84"/>
      <c r="TH31" s="84"/>
      <c r="TI31" s="84"/>
      <c r="TJ31" s="84"/>
      <c r="TK31" s="84"/>
      <c r="TL31" s="84"/>
      <c r="TM31" s="84"/>
      <c r="TN31" s="84"/>
      <c r="TO31" s="84"/>
      <c r="TP31" s="84"/>
      <c r="TQ31" s="84"/>
      <c r="TR31" s="84"/>
      <c r="TS31" s="84"/>
      <c r="TT31" s="84"/>
      <c r="TU31" s="84"/>
      <c r="TV31" s="84"/>
      <c r="TW31" s="84"/>
      <c r="TX31" s="84"/>
      <c r="TY31" s="84"/>
      <c r="TZ31" s="84"/>
      <c r="UA31" s="84"/>
      <c r="UB31" s="84"/>
      <c r="UC31" s="84"/>
      <c r="UD31" s="84"/>
      <c r="UE31" s="84"/>
      <c r="UF31" s="84"/>
      <c r="UG31" s="84"/>
      <c r="UH31" s="84"/>
      <c r="UI31" s="84"/>
      <c r="UJ31" s="84"/>
      <c r="UK31" s="84"/>
      <c r="UL31" s="84"/>
      <c r="UM31" s="84"/>
      <c r="UN31" s="84"/>
      <c r="UO31" s="84"/>
      <c r="UP31" s="84"/>
      <c r="UQ31" s="84"/>
      <c r="UR31" s="84"/>
      <c r="US31" s="84"/>
      <c r="UT31" s="84"/>
      <c r="UU31" s="84"/>
      <c r="UV31" s="84"/>
      <c r="UW31" s="84"/>
      <c r="UX31" s="84"/>
      <c r="UY31" s="84"/>
      <c r="UZ31" s="84"/>
      <c r="VA31" s="84"/>
      <c r="VB31" s="84"/>
      <c r="VC31" s="84"/>
      <c r="VD31" s="84"/>
      <c r="VE31" s="84"/>
      <c r="VF31" s="84"/>
      <c r="VG31" s="84"/>
      <c r="VH31" s="84"/>
      <c r="VI31" s="84"/>
      <c r="VJ31" s="84"/>
      <c r="VK31" s="84"/>
      <c r="VL31" s="84"/>
      <c r="VM31" s="84"/>
      <c r="VN31" s="84"/>
      <c r="VO31" s="84"/>
      <c r="VP31" s="84"/>
      <c r="VQ31" s="84"/>
      <c r="VR31" s="84"/>
      <c r="VS31" s="84"/>
      <c r="VT31" s="84"/>
      <c r="VU31" s="84"/>
      <c r="VV31" s="84"/>
      <c r="VW31" s="84"/>
      <c r="VX31" s="84"/>
      <c r="VY31" s="84"/>
      <c r="VZ31" s="84"/>
      <c r="WA31" s="84"/>
      <c r="WB31" s="84"/>
      <c r="WC31" s="84"/>
      <c r="WD31" s="84"/>
      <c r="WE31" s="84"/>
      <c r="WF31" s="84"/>
      <c r="WG31" s="84"/>
      <c r="WH31" s="84"/>
      <c r="WI31" s="84"/>
      <c r="WJ31" s="84"/>
      <c r="WK31" s="84"/>
      <c r="WL31" s="84"/>
      <c r="WM31" s="84"/>
      <c r="WN31" s="84"/>
      <c r="WO31" s="84"/>
      <c r="WP31" s="84"/>
      <c r="WQ31" s="84"/>
      <c r="WR31" s="84"/>
      <c r="WS31" s="84"/>
      <c r="WT31" s="84"/>
      <c r="WU31" s="84"/>
      <c r="WV31" s="84"/>
      <c r="WW31" s="84"/>
      <c r="WX31" s="84"/>
      <c r="WY31" s="84"/>
      <c r="WZ31" s="84"/>
      <c r="XA31" s="84"/>
      <c r="XB31" s="84"/>
      <c r="XC31" s="84"/>
      <c r="XD31" s="84"/>
      <c r="XE31" s="84"/>
      <c r="XF31" s="84"/>
      <c r="XG31" s="84"/>
      <c r="XH31" s="84"/>
      <c r="XI31" s="84"/>
      <c r="XJ31" s="84"/>
      <c r="XK31" s="84"/>
      <c r="XL31" s="84"/>
      <c r="XM31" s="84"/>
      <c r="XN31" s="84"/>
      <c r="XO31" s="84"/>
      <c r="XP31" s="84"/>
      <c r="XQ31" s="84"/>
      <c r="XR31" s="84"/>
      <c r="XS31" s="84"/>
      <c r="XT31" s="84"/>
      <c r="XU31" s="84"/>
      <c r="XV31" s="84"/>
      <c r="XW31" s="84"/>
      <c r="XX31" s="84"/>
      <c r="XY31" s="84"/>
      <c r="XZ31" s="84"/>
      <c r="YA31" s="84"/>
      <c r="YB31" s="84"/>
      <c r="YC31" s="84"/>
      <c r="YD31" s="84"/>
      <c r="YE31" s="84"/>
      <c r="YF31" s="84"/>
      <c r="YG31" s="84"/>
      <c r="YH31" s="84"/>
      <c r="YI31" s="84"/>
      <c r="YJ31" s="84"/>
      <c r="YK31" s="84"/>
      <c r="YL31" s="84"/>
      <c r="YM31" s="84"/>
      <c r="YN31" s="84"/>
      <c r="YO31" s="84"/>
      <c r="YP31" s="84"/>
      <c r="YQ31" s="84"/>
      <c r="YR31" s="84"/>
      <c r="YS31" s="84"/>
      <c r="YT31" s="84"/>
      <c r="YU31" s="84"/>
      <c r="YV31" s="84"/>
      <c r="YW31" s="84"/>
      <c r="YX31" s="84"/>
      <c r="YY31" s="84"/>
      <c r="YZ31" s="84"/>
    </row>
    <row r="32" spans="1:676" ht="20.5">
      <c r="A32" s="68"/>
      <c r="B32" s="218" t="str">
        <f>"Mittlere Kosten je Fall bei "&amp;E6*100&amp;"% Auslastung"</f>
        <v>Mittlere Kosten je Fall bei 48,96% Auslastung</v>
      </c>
      <c r="C32" s="329">
        <f ca="1">F31/C23</f>
        <v>50.230405198652157</v>
      </c>
      <c r="D32" s="329"/>
      <c r="E32" s="329"/>
      <c r="F32" s="259"/>
      <c r="G32" s="223"/>
      <c r="H32" s="223"/>
      <c r="I32" s="245" t="str">
        <f>"Mittlere Kosten je Fall bei "&amp;J6*100&amp;"% Auslastung"</f>
        <v>Mittlere Kosten je Fall bei 47,62% Auslastung</v>
      </c>
      <c r="J32" s="330">
        <f ca="1">L31/J23</f>
        <v>322.22131726447009</v>
      </c>
      <c r="K32" s="331"/>
      <c r="L32" s="259"/>
      <c r="M32" s="254"/>
      <c r="N32" s="64"/>
      <c r="O32" s="117"/>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c r="CA32" s="65"/>
      <c r="CB32" s="65"/>
      <c r="CC32" s="65"/>
      <c r="CD32" s="65"/>
      <c r="CE32" s="65"/>
      <c r="CF32" s="65"/>
      <c r="CG32" s="65"/>
      <c r="CH32" s="65"/>
      <c r="CI32" s="65"/>
      <c r="CJ32" s="65"/>
      <c r="CK32" s="65"/>
      <c r="CL32" s="65"/>
      <c r="CM32" s="65"/>
      <c r="CN32" s="65"/>
      <c r="CO32" s="65"/>
      <c r="CP32" s="65"/>
      <c r="CQ32" s="65"/>
      <c r="CR32" s="65"/>
      <c r="CS32" s="65"/>
      <c r="CT32" s="65"/>
      <c r="CU32" s="65"/>
      <c r="CV32" s="65"/>
      <c r="CW32" s="65"/>
      <c r="CX32" s="65"/>
      <c r="CY32" s="65"/>
      <c r="CZ32" s="65"/>
      <c r="DA32" s="65"/>
      <c r="DB32" s="65"/>
      <c r="DC32" s="65"/>
      <c r="DD32" s="65"/>
      <c r="DE32" s="65"/>
      <c r="DF32" s="65"/>
      <c r="DG32" s="65"/>
      <c r="DH32" s="65"/>
      <c r="DI32" s="65"/>
      <c r="DJ32" s="65"/>
      <c r="DK32" s="65"/>
      <c r="DL32" s="65"/>
      <c r="DM32" s="65"/>
      <c r="DN32" s="65"/>
      <c r="DO32" s="65"/>
      <c r="DP32" s="65"/>
      <c r="DQ32" s="65"/>
      <c r="DR32" s="65"/>
      <c r="DS32" s="65"/>
      <c r="DT32" s="65"/>
      <c r="DU32" s="65"/>
      <c r="DV32" s="65"/>
      <c r="DW32" s="65"/>
      <c r="DX32" s="65"/>
      <c r="DY32" s="65"/>
      <c r="DZ32" s="65"/>
      <c r="EA32" s="65"/>
      <c r="EB32" s="65"/>
      <c r="EC32" s="65"/>
      <c r="ED32" s="65"/>
      <c r="EE32" s="65"/>
      <c r="EF32" s="65"/>
      <c r="EG32" s="65"/>
      <c r="EH32" s="65"/>
      <c r="EI32" s="65"/>
      <c r="EJ32" s="65"/>
      <c r="EK32" s="65"/>
      <c r="EL32" s="65"/>
      <c r="EM32" s="65"/>
      <c r="EN32" s="65"/>
      <c r="EO32" s="65"/>
      <c r="EP32" s="65"/>
      <c r="EQ32" s="65"/>
      <c r="ER32" s="65"/>
      <c r="ES32" s="65"/>
      <c r="ET32" s="65"/>
      <c r="EU32" s="65"/>
      <c r="EV32" s="65"/>
      <c r="EW32" s="65"/>
      <c r="EX32" s="65"/>
      <c r="EY32" s="65"/>
      <c r="EZ32" s="65"/>
      <c r="FA32" s="65"/>
      <c r="FB32" s="65"/>
      <c r="FC32" s="65"/>
      <c r="FD32" s="65"/>
      <c r="FE32" s="65"/>
      <c r="FF32" s="65"/>
      <c r="FG32" s="65"/>
      <c r="FH32" s="65"/>
      <c r="FI32" s="65"/>
      <c r="FJ32" s="65"/>
      <c r="FK32" s="65"/>
      <c r="FL32" s="65"/>
      <c r="FM32" s="65"/>
      <c r="FN32" s="65"/>
      <c r="FO32" s="65"/>
      <c r="FP32" s="65"/>
      <c r="FQ32" s="65"/>
      <c r="FR32" s="65"/>
      <c r="FS32" s="65"/>
      <c r="FT32" s="65"/>
      <c r="FU32" s="65"/>
      <c r="FV32" s="65"/>
      <c r="FW32" s="65"/>
      <c r="FX32" s="65"/>
      <c r="FY32" s="65"/>
      <c r="FZ32" s="65"/>
      <c r="GA32" s="65"/>
      <c r="GB32" s="65"/>
      <c r="GC32" s="65"/>
      <c r="GD32" s="65"/>
      <c r="GE32" s="65"/>
      <c r="GF32" s="65"/>
      <c r="GG32" s="65"/>
      <c r="GH32" s="65"/>
      <c r="GI32" s="65"/>
      <c r="GJ32" s="65"/>
      <c r="GK32" s="65"/>
      <c r="GL32" s="65"/>
      <c r="GM32" s="65"/>
      <c r="GN32" s="65"/>
      <c r="GO32" s="65"/>
      <c r="GP32" s="65"/>
      <c r="GQ32" s="65"/>
      <c r="GR32" s="65"/>
      <c r="GS32" s="65"/>
      <c r="GT32" s="65"/>
      <c r="GU32" s="65"/>
      <c r="GV32" s="65"/>
      <c r="GW32" s="65"/>
      <c r="GX32" s="65"/>
      <c r="GY32" s="65"/>
      <c r="GZ32" s="65"/>
      <c r="HA32" s="65"/>
      <c r="HB32" s="65"/>
      <c r="HC32" s="65"/>
      <c r="HD32" s="65"/>
      <c r="HE32" s="65"/>
      <c r="HF32" s="65"/>
      <c r="HG32" s="65"/>
      <c r="HH32" s="65"/>
      <c r="HI32" s="65"/>
      <c r="HJ32" s="65"/>
      <c r="HK32" s="65"/>
      <c r="HL32" s="65"/>
      <c r="HM32" s="65"/>
      <c r="HN32" s="65"/>
      <c r="HO32" s="65"/>
      <c r="HP32" s="65"/>
      <c r="HQ32" s="65"/>
      <c r="HR32" s="65"/>
      <c r="HS32" s="65"/>
      <c r="HT32" s="65"/>
      <c r="HU32" s="65"/>
      <c r="HV32" s="65"/>
      <c r="HW32" s="65"/>
      <c r="HX32" s="65"/>
      <c r="HY32" s="65"/>
      <c r="HZ32" s="65"/>
      <c r="IA32" s="65"/>
      <c r="IB32" s="65"/>
      <c r="IC32" s="65"/>
      <c r="ID32" s="65"/>
      <c r="IE32" s="65"/>
      <c r="IF32" s="65"/>
      <c r="IG32" s="65"/>
      <c r="IH32" s="65"/>
      <c r="II32" s="65"/>
      <c r="IJ32" s="65"/>
      <c r="IK32" s="65"/>
      <c r="IL32" s="65"/>
      <c r="IM32" s="65"/>
      <c r="IN32" s="65"/>
      <c r="IO32" s="65"/>
      <c r="IP32" s="65"/>
      <c r="IQ32" s="65"/>
      <c r="IR32" s="65"/>
      <c r="IS32" s="65"/>
      <c r="IT32" s="65"/>
      <c r="IU32" s="65"/>
      <c r="IV32" s="65"/>
      <c r="IW32" s="65"/>
      <c r="IX32" s="65"/>
      <c r="IY32" s="65"/>
      <c r="IZ32" s="65"/>
      <c r="JA32" s="65"/>
      <c r="JB32" s="65"/>
      <c r="JC32" s="65"/>
      <c r="JD32" s="65"/>
      <c r="JE32" s="65"/>
      <c r="JF32" s="65"/>
      <c r="JG32" s="65"/>
      <c r="JH32" s="65"/>
      <c r="JI32" s="65"/>
      <c r="JJ32" s="65"/>
      <c r="JK32" s="65"/>
      <c r="JL32" s="65"/>
      <c r="JM32" s="65"/>
      <c r="JN32" s="65"/>
      <c r="JO32" s="65"/>
      <c r="JP32" s="65"/>
      <c r="JQ32" s="65"/>
      <c r="JR32" s="65"/>
      <c r="JS32" s="65"/>
      <c r="JT32" s="65"/>
      <c r="JU32" s="65"/>
      <c r="JV32" s="65"/>
      <c r="JW32" s="65"/>
      <c r="JX32" s="65"/>
      <c r="JY32" s="65"/>
      <c r="JZ32" s="65"/>
      <c r="KA32" s="65"/>
      <c r="KB32" s="65"/>
      <c r="KC32" s="65"/>
      <c r="KD32" s="65"/>
      <c r="KE32" s="65"/>
      <c r="KF32" s="65"/>
      <c r="KG32" s="65"/>
      <c r="KH32" s="65"/>
      <c r="KI32" s="65"/>
      <c r="KJ32" s="65"/>
      <c r="KK32" s="65"/>
      <c r="KL32" s="65"/>
      <c r="KM32" s="65"/>
      <c r="KN32" s="65"/>
      <c r="KO32" s="65"/>
      <c r="KP32" s="65"/>
      <c r="KQ32" s="65"/>
      <c r="KR32" s="65"/>
      <c r="KS32" s="65"/>
      <c r="KT32" s="65"/>
      <c r="KU32" s="65"/>
      <c r="KV32" s="65"/>
      <c r="KW32" s="65"/>
      <c r="KX32" s="65"/>
      <c r="KY32" s="65"/>
      <c r="KZ32" s="65"/>
      <c r="LA32" s="65"/>
      <c r="LB32" s="65"/>
      <c r="LC32" s="65"/>
      <c r="LD32" s="65"/>
      <c r="LE32" s="65"/>
      <c r="LF32" s="65"/>
      <c r="LG32" s="65"/>
      <c r="LH32" s="65"/>
      <c r="LI32" s="65"/>
      <c r="LJ32" s="65"/>
      <c r="LK32" s="65"/>
      <c r="LL32" s="65"/>
      <c r="LM32" s="65"/>
      <c r="LN32" s="65"/>
      <c r="LO32" s="65"/>
      <c r="LP32" s="65"/>
      <c r="LQ32" s="65"/>
      <c r="LR32" s="65"/>
      <c r="LS32" s="65"/>
      <c r="LT32" s="65"/>
      <c r="LU32" s="65"/>
      <c r="LV32" s="65"/>
      <c r="LW32" s="65"/>
      <c r="LX32" s="65"/>
      <c r="LY32" s="65"/>
      <c r="LZ32" s="65"/>
      <c r="MA32" s="65"/>
      <c r="MB32" s="65"/>
      <c r="MC32" s="65"/>
      <c r="MD32" s="65"/>
      <c r="ME32" s="65"/>
      <c r="MF32" s="65"/>
      <c r="MG32" s="65"/>
      <c r="MH32" s="65"/>
      <c r="MI32" s="65"/>
      <c r="MJ32" s="65"/>
      <c r="MK32" s="65"/>
      <c r="ML32" s="65"/>
      <c r="MM32" s="65"/>
      <c r="MN32" s="65"/>
      <c r="MO32" s="65"/>
      <c r="MP32" s="65"/>
      <c r="MQ32" s="65"/>
      <c r="MR32" s="65"/>
      <c r="MS32" s="65"/>
      <c r="MT32" s="65"/>
      <c r="MU32" s="65"/>
      <c r="MV32" s="65"/>
      <c r="MW32" s="65"/>
      <c r="MX32" s="65"/>
      <c r="MY32" s="65"/>
      <c r="MZ32" s="65"/>
      <c r="NA32" s="65"/>
      <c r="NB32" s="65"/>
      <c r="NC32" s="65"/>
      <c r="ND32" s="65"/>
      <c r="NE32" s="65"/>
      <c r="NF32" s="65"/>
      <c r="NG32" s="65"/>
      <c r="NH32" s="65"/>
      <c r="NI32" s="65"/>
      <c r="NJ32" s="65"/>
      <c r="NK32" s="65"/>
      <c r="NL32" s="65"/>
      <c r="NM32" s="65"/>
      <c r="NN32" s="65"/>
      <c r="NO32" s="65"/>
      <c r="NP32" s="65"/>
      <c r="NQ32" s="65"/>
      <c r="NR32" s="65"/>
      <c r="NS32" s="65"/>
      <c r="NT32" s="65"/>
      <c r="NU32" s="65"/>
      <c r="NV32" s="65"/>
      <c r="NW32" s="65"/>
      <c r="NX32" s="65"/>
      <c r="NY32" s="65"/>
      <c r="NZ32" s="65"/>
      <c r="OA32" s="65"/>
      <c r="OB32" s="65"/>
      <c r="OC32" s="65"/>
      <c r="OD32" s="65"/>
      <c r="OE32" s="65"/>
      <c r="OF32" s="65"/>
      <c r="OG32" s="65"/>
      <c r="OH32" s="65"/>
      <c r="OI32" s="65"/>
      <c r="OJ32" s="65"/>
      <c r="OK32" s="65"/>
      <c r="OL32" s="65"/>
      <c r="OM32" s="65"/>
      <c r="ON32" s="65"/>
      <c r="OO32" s="65"/>
      <c r="OP32" s="65"/>
      <c r="OQ32" s="65"/>
      <c r="OR32" s="65"/>
      <c r="OS32" s="65"/>
      <c r="OT32" s="65"/>
      <c r="OU32" s="65"/>
      <c r="OV32" s="65"/>
      <c r="OW32" s="65"/>
      <c r="OX32" s="65"/>
      <c r="OY32" s="65"/>
      <c r="OZ32" s="65"/>
      <c r="PA32" s="65"/>
      <c r="PB32" s="65"/>
      <c r="PC32" s="65"/>
      <c r="PD32" s="65"/>
      <c r="PE32" s="65"/>
      <c r="PF32" s="65"/>
      <c r="PG32" s="65"/>
      <c r="PH32" s="65"/>
      <c r="PI32" s="65"/>
      <c r="PJ32" s="65"/>
      <c r="PK32" s="65"/>
      <c r="PL32" s="65"/>
      <c r="PM32" s="65"/>
      <c r="PN32" s="65"/>
      <c r="PO32" s="65"/>
      <c r="PP32" s="65"/>
      <c r="PQ32" s="65"/>
      <c r="PR32" s="65"/>
      <c r="PS32" s="65"/>
      <c r="PT32" s="65"/>
      <c r="PU32" s="65"/>
      <c r="PV32" s="65"/>
      <c r="PW32" s="65"/>
      <c r="PX32" s="65"/>
      <c r="PY32" s="65"/>
      <c r="PZ32" s="65"/>
      <c r="QA32" s="65"/>
      <c r="QB32" s="65"/>
      <c r="QC32" s="65"/>
      <c r="QD32" s="65"/>
      <c r="QE32" s="65"/>
      <c r="QF32" s="65"/>
      <c r="QG32" s="65"/>
      <c r="QH32" s="65"/>
      <c r="QI32" s="65"/>
      <c r="QJ32" s="65"/>
      <c r="QK32" s="65"/>
      <c r="QL32" s="65"/>
      <c r="QM32" s="65"/>
      <c r="QN32" s="65"/>
      <c r="QO32" s="65"/>
      <c r="QP32" s="65"/>
      <c r="QQ32" s="65"/>
      <c r="QR32" s="65"/>
      <c r="QS32" s="65"/>
      <c r="QT32" s="65"/>
      <c r="QU32" s="65"/>
      <c r="QV32" s="65"/>
      <c r="QW32" s="65"/>
      <c r="QX32" s="65"/>
      <c r="QY32" s="65"/>
      <c r="QZ32" s="65"/>
      <c r="RA32" s="65"/>
      <c r="RB32" s="65"/>
      <c r="RC32" s="65"/>
      <c r="RD32" s="65"/>
      <c r="RE32" s="65"/>
      <c r="RF32" s="65"/>
      <c r="RG32" s="65"/>
      <c r="RH32" s="65"/>
      <c r="RI32" s="65"/>
      <c r="RJ32" s="65"/>
      <c r="RK32" s="65"/>
      <c r="RL32" s="65"/>
      <c r="RM32" s="65"/>
      <c r="RN32" s="65"/>
      <c r="RO32" s="65"/>
      <c r="RP32" s="65"/>
      <c r="RQ32" s="65"/>
      <c r="RR32" s="65"/>
      <c r="RS32" s="65"/>
      <c r="RT32" s="65"/>
      <c r="RU32" s="65"/>
      <c r="RV32" s="65"/>
      <c r="RW32" s="65"/>
      <c r="RX32" s="65"/>
      <c r="RY32" s="65"/>
      <c r="RZ32" s="65"/>
      <c r="SA32" s="65"/>
      <c r="SB32" s="65"/>
      <c r="SC32" s="65"/>
      <c r="SD32" s="65"/>
      <c r="SE32" s="65"/>
      <c r="SF32" s="65"/>
      <c r="SG32" s="65"/>
      <c r="SH32" s="65"/>
      <c r="SI32" s="65"/>
      <c r="SJ32" s="65"/>
      <c r="SK32" s="65"/>
      <c r="SL32" s="65"/>
      <c r="SM32" s="65"/>
      <c r="SN32" s="65"/>
      <c r="SO32" s="65"/>
      <c r="SP32" s="65"/>
      <c r="SQ32" s="65"/>
      <c r="SR32" s="65"/>
      <c r="SS32" s="65"/>
      <c r="ST32" s="65"/>
      <c r="SU32" s="65"/>
      <c r="SV32" s="65"/>
      <c r="SW32" s="65"/>
      <c r="SX32" s="65"/>
      <c r="SY32" s="65"/>
      <c r="SZ32" s="65"/>
      <c r="TA32" s="65"/>
      <c r="TB32" s="65"/>
      <c r="TC32" s="65"/>
      <c r="TD32" s="65"/>
      <c r="TE32" s="65"/>
      <c r="TF32" s="65"/>
      <c r="TG32" s="65"/>
      <c r="TH32" s="65"/>
      <c r="TI32" s="65"/>
      <c r="TJ32" s="65"/>
      <c r="TK32" s="65"/>
      <c r="TL32" s="65"/>
      <c r="TM32" s="65"/>
      <c r="TN32" s="65"/>
      <c r="TO32" s="65"/>
      <c r="TP32" s="65"/>
      <c r="TQ32" s="65"/>
      <c r="TR32" s="65"/>
      <c r="TS32" s="65"/>
      <c r="TT32" s="65"/>
      <c r="TU32" s="65"/>
      <c r="TV32" s="65"/>
      <c r="TW32" s="65"/>
      <c r="TX32" s="65"/>
      <c r="TY32" s="65"/>
      <c r="TZ32" s="65"/>
      <c r="UA32" s="65"/>
      <c r="UB32" s="65"/>
      <c r="UC32" s="65"/>
      <c r="UD32" s="65"/>
      <c r="UE32" s="65"/>
      <c r="UF32" s="65"/>
      <c r="UG32" s="65"/>
      <c r="UH32" s="65"/>
      <c r="UI32" s="65"/>
      <c r="UJ32" s="65"/>
      <c r="UK32" s="65"/>
      <c r="UL32" s="65"/>
      <c r="UM32" s="65"/>
      <c r="UN32" s="65"/>
      <c r="UO32" s="65"/>
      <c r="UP32" s="65"/>
      <c r="UQ32" s="65"/>
      <c r="UR32" s="65"/>
      <c r="US32" s="65"/>
      <c r="UT32" s="65"/>
      <c r="UU32" s="65"/>
      <c r="UV32" s="65"/>
      <c r="UW32" s="65"/>
      <c r="UX32" s="65"/>
      <c r="UY32" s="65"/>
      <c r="UZ32" s="65"/>
      <c r="VA32" s="65"/>
      <c r="VB32" s="65"/>
      <c r="VC32" s="65"/>
      <c r="VD32" s="65"/>
      <c r="VE32" s="65"/>
      <c r="VF32" s="65"/>
      <c r="VG32" s="65"/>
      <c r="VH32" s="65"/>
      <c r="VI32" s="65"/>
      <c r="VJ32" s="65"/>
      <c r="VK32" s="65"/>
      <c r="VL32" s="65"/>
      <c r="VM32" s="65"/>
      <c r="VN32" s="65"/>
      <c r="VO32" s="65"/>
      <c r="VP32" s="65"/>
      <c r="VQ32" s="65"/>
      <c r="VR32" s="65"/>
      <c r="VS32" s="65"/>
      <c r="VT32" s="65"/>
      <c r="VU32" s="65"/>
      <c r="VV32" s="65"/>
      <c r="VW32" s="65"/>
      <c r="VX32" s="65"/>
      <c r="VY32" s="65"/>
      <c r="VZ32" s="65"/>
      <c r="WA32" s="65"/>
      <c r="WB32" s="65"/>
      <c r="WC32" s="65"/>
      <c r="WD32" s="65"/>
      <c r="WE32" s="65"/>
      <c r="WF32" s="65"/>
      <c r="WG32" s="65"/>
      <c r="WH32" s="65"/>
      <c r="WI32" s="65"/>
      <c r="WJ32" s="65"/>
      <c r="WK32" s="65"/>
      <c r="WL32" s="65"/>
      <c r="WM32" s="65"/>
      <c r="WN32" s="65"/>
      <c r="WO32" s="65"/>
      <c r="WP32" s="65"/>
      <c r="WQ32" s="65"/>
      <c r="WR32" s="65"/>
      <c r="WS32" s="65"/>
      <c r="WT32" s="65"/>
      <c r="WU32" s="65"/>
      <c r="WV32" s="65"/>
      <c r="WW32" s="65"/>
      <c r="WX32" s="65"/>
      <c r="WY32" s="65"/>
      <c r="WZ32" s="65"/>
      <c r="XA32" s="65"/>
      <c r="XB32" s="65"/>
      <c r="XC32" s="65"/>
      <c r="XD32" s="65"/>
      <c r="XE32" s="65"/>
      <c r="XF32" s="65"/>
      <c r="XG32" s="65"/>
      <c r="XH32" s="65"/>
      <c r="XI32" s="65"/>
      <c r="XJ32" s="65"/>
      <c r="XK32" s="65"/>
      <c r="XL32" s="65"/>
      <c r="XM32" s="65"/>
      <c r="XN32" s="65"/>
      <c r="XO32" s="65"/>
      <c r="XP32" s="65"/>
      <c r="XQ32" s="65"/>
      <c r="XR32" s="65"/>
      <c r="XS32" s="65"/>
      <c r="XT32" s="65"/>
      <c r="XU32" s="65"/>
      <c r="XV32" s="65"/>
      <c r="XW32" s="65"/>
      <c r="XX32" s="65"/>
      <c r="XY32" s="65"/>
      <c r="XZ32" s="65"/>
      <c r="YA32" s="65"/>
      <c r="YB32" s="65"/>
      <c r="YC32" s="65"/>
      <c r="YD32" s="65"/>
      <c r="YE32" s="65"/>
      <c r="YF32" s="65"/>
      <c r="YG32" s="65"/>
      <c r="YH32" s="65"/>
      <c r="YI32" s="65"/>
      <c r="YJ32" s="65"/>
      <c r="YK32" s="65"/>
      <c r="YL32" s="65"/>
      <c r="YM32" s="65"/>
      <c r="YN32" s="65"/>
      <c r="YO32" s="65"/>
      <c r="YP32" s="65"/>
      <c r="YQ32" s="65"/>
      <c r="YR32" s="65"/>
      <c r="YS32" s="65"/>
      <c r="YT32" s="65"/>
      <c r="YU32" s="65"/>
      <c r="YV32" s="65"/>
      <c r="YW32" s="65"/>
      <c r="YX32" s="65"/>
      <c r="YY32" s="65"/>
      <c r="YZ32" s="65"/>
    </row>
    <row r="33" spans="1:16" ht="17.25" customHeight="1">
      <c r="A33" s="68"/>
      <c r="B33" s="223"/>
      <c r="C33" s="223"/>
      <c r="D33" s="223"/>
      <c r="E33" s="223"/>
      <c r="F33" s="260"/>
      <c r="G33" s="223"/>
      <c r="H33" s="223"/>
      <c r="I33" s="223"/>
      <c r="J33" s="223"/>
      <c r="K33" s="223"/>
      <c r="L33" s="260"/>
      <c r="M33" s="254"/>
      <c r="N33" s="64"/>
      <c r="O33" s="117"/>
    </row>
    <row r="34" spans="1:16" ht="20.5">
      <c r="A34" s="68"/>
      <c r="B34" s="91" t="s">
        <v>107</v>
      </c>
      <c r="C34" s="92"/>
      <c r="D34" s="92"/>
      <c r="E34" s="93"/>
      <c r="F34" s="94" t="s">
        <v>9</v>
      </c>
      <c r="G34" s="223"/>
      <c r="H34" s="223"/>
      <c r="I34" s="91" t="s">
        <v>107</v>
      </c>
      <c r="J34" s="92"/>
      <c r="K34" s="93"/>
      <c r="L34" s="94" t="s">
        <v>9</v>
      </c>
      <c r="M34" s="254"/>
      <c r="N34" s="64"/>
      <c r="O34" s="117"/>
    </row>
    <row r="35" spans="1:16" ht="20.5">
      <c r="A35" s="68"/>
      <c r="B35" s="239" t="str">
        <f>"Fälle bei einer Auslastung von "&amp;E6*100&amp;"%"</f>
        <v>Fälle bei einer Auslastung von 48,96%</v>
      </c>
      <c r="C35" s="242">
        <f>C24</f>
        <v>11385.290799999999</v>
      </c>
      <c r="D35" s="242">
        <f>D24</f>
        <v>642.45000000000005</v>
      </c>
      <c r="E35" s="242">
        <f>E24</f>
        <v>554</v>
      </c>
      <c r="F35" s="332"/>
      <c r="G35" s="223"/>
      <c r="H35" s="223"/>
      <c r="I35" s="239" t="str">
        <f>"Fälle bei einer Auslastung von "&amp;J6*100&amp;"%"</f>
        <v>Fälle bei einer Auslastung von 47,62%</v>
      </c>
      <c r="J35" s="242">
        <f>J24</f>
        <v>1184.9334000000001</v>
      </c>
      <c r="K35" s="242">
        <f>K24</f>
        <v>247</v>
      </c>
      <c r="L35" s="332"/>
      <c r="M35" s="254"/>
      <c r="N35" s="64"/>
      <c r="O35" s="117"/>
    </row>
    <row r="36" spans="1:16" ht="20.5">
      <c r="A36" s="68"/>
      <c r="B36" s="239" t="str">
        <f>"Erlös pro Fall in Höhe von "&amp;J8&amp;" Euro"</f>
        <v>Erlös pro Fall in Höhe von 50 Euro</v>
      </c>
      <c r="C36" s="243">
        <f>J8</f>
        <v>50</v>
      </c>
      <c r="D36" s="243">
        <f>J8</f>
        <v>50</v>
      </c>
      <c r="E36" s="243">
        <f>J8</f>
        <v>50</v>
      </c>
      <c r="F36" s="333"/>
      <c r="G36" s="223"/>
      <c r="H36" s="223"/>
      <c r="I36" s="239" t="str">
        <f>"Erlös pro Fall in Höhe von "&amp;J8&amp;" Euro"</f>
        <v>Erlös pro Fall in Höhe von 50 Euro</v>
      </c>
      <c r="J36" s="243">
        <f>J8</f>
        <v>50</v>
      </c>
      <c r="K36" s="243">
        <f>J8</f>
        <v>50</v>
      </c>
      <c r="L36" s="333"/>
      <c r="M36" s="254"/>
      <c r="N36" s="64"/>
      <c r="O36" s="117"/>
    </row>
    <row r="37" spans="1:16" ht="20.5">
      <c r="A37" s="68"/>
      <c r="B37" s="239" t="str">
        <f>"Summe der Erlöse über alle Fälle"</f>
        <v>Summe der Erlöse über alle Fälle</v>
      </c>
      <c r="C37" s="240">
        <f>C35*C36</f>
        <v>569264.53999999992</v>
      </c>
      <c r="D37" s="240">
        <f>D35*D36</f>
        <v>32122.500000000004</v>
      </c>
      <c r="E37" s="240">
        <f>E35*E36</f>
        <v>27700</v>
      </c>
      <c r="F37" s="244">
        <f>SUM(C37:E37)</f>
        <v>629087.03999999992</v>
      </c>
      <c r="G37" s="223"/>
      <c r="H37" s="223"/>
      <c r="I37" s="239" t="str">
        <f>"Summe der Erlöse über alle Fälle"</f>
        <v>Summe der Erlöse über alle Fälle</v>
      </c>
      <c r="J37" s="240">
        <f>J35*J36</f>
        <v>59246.670000000006</v>
      </c>
      <c r="K37" s="240">
        <f>K35*K36</f>
        <v>12350</v>
      </c>
      <c r="L37" s="244">
        <f>SUM(J37:K37)</f>
        <v>71596.670000000013</v>
      </c>
      <c r="M37" s="254"/>
      <c r="N37" s="64"/>
      <c r="O37" s="117"/>
    </row>
    <row r="38" spans="1:16" ht="16" customHeight="1">
      <c r="A38" s="68"/>
      <c r="B38" s="334"/>
      <c r="C38" s="334"/>
      <c r="D38" s="334"/>
      <c r="E38" s="334"/>
      <c r="F38" s="334"/>
      <c r="G38" s="261"/>
      <c r="H38" s="223"/>
      <c r="I38" s="334"/>
      <c r="J38" s="334"/>
      <c r="K38" s="334"/>
      <c r="L38" s="334"/>
      <c r="M38" s="254"/>
      <c r="N38" s="64"/>
      <c r="O38" s="117"/>
    </row>
    <row r="39" spans="1:16" ht="31" customHeight="1">
      <c r="A39" s="68"/>
      <c r="B39" s="95" t="str">
        <f>"Erlösdifferenz Gruppe 0-2"</f>
        <v>Erlösdifferenz Gruppe 0-2</v>
      </c>
      <c r="C39" s="96"/>
      <c r="D39" s="96"/>
      <c r="E39" s="97"/>
      <c r="F39" s="231">
        <f ca="1">F37-F31</f>
        <v>-2898.8984884140082</v>
      </c>
      <c r="G39" s="262">
        <f ca="1">F39/SUM(C35:E35)</f>
        <v>-0.23040519865216172</v>
      </c>
      <c r="H39" s="165"/>
      <c r="I39" s="95" t="str">
        <f>"Erlösdifferenz Gruppe 3-4"</f>
        <v>Erlösdifferenz Gruppe 3-4</v>
      </c>
      <c r="J39" s="96"/>
      <c r="K39" s="97"/>
      <c r="L39" s="235">
        <f ca="1">L37-L31</f>
        <v>-389802.79638299136</v>
      </c>
      <c r="M39" s="262">
        <f ca="1">L39/SUM(J35:K35)</f>
        <v>-272.22131726447009</v>
      </c>
      <c r="N39" s="64"/>
      <c r="O39" s="117"/>
    </row>
    <row r="40" spans="1:16" ht="19.75" customHeight="1">
      <c r="A40" s="68"/>
      <c r="B40" s="223"/>
      <c r="C40" s="263"/>
      <c r="D40" s="263"/>
      <c r="E40" s="263"/>
      <c r="F40" s="264"/>
      <c r="G40" s="264"/>
      <c r="H40" s="223"/>
      <c r="I40" s="265"/>
      <c r="J40" s="266"/>
      <c r="K40" s="263"/>
      <c r="L40" s="264"/>
      <c r="M40" s="254"/>
      <c r="N40" s="64"/>
      <c r="O40" s="117"/>
    </row>
    <row r="41" spans="1:16" ht="20.5">
      <c r="A41" s="68"/>
      <c r="B41" s="223"/>
      <c r="C41" s="223"/>
      <c r="D41" s="228" t="str">
        <f>"Fallbezogene kumulierte Erlösdifferenz"</f>
        <v>Fallbezogene kumulierte Erlösdifferenz</v>
      </c>
      <c r="E41" s="229"/>
      <c r="F41" s="229"/>
      <c r="G41" s="229"/>
      <c r="H41" s="230"/>
      <c r="I41" s="231">
        <f ca="1">SUM(F39,L39)</f>
        <v>-392701.69487140537</v>
      </c>
      <c r="J41" s="260"/>
      <c r="K41" s="223"/>
      <c r="L41" s="223"/>
      <c r="M41" s="254"/>
      <c r="N41" s="64"/>
      <c r="O41" s="65"/>
    </row>
    <row r="42" spans="1:16" ht="20.5">
      <c r="A42" s="68"/>
      <c r="B42" s="223"/>
      <c r="C42" s="223"/>
      <c r="D42" s="232" t="str">
        <f>"Fallbezogene kumulierte Erlösdifferenz je Tag"</f>
        <v>Fallbezogene kumulierte Erlösdifferenz je Tag</v>
      </c>
      <c r="E42" s="233"/>
      <c r="F42" s="233"/>
      <c r="G42" s="233"/>
      <c r="H42" s="234"/>
      <c r="I42" s="235">
        <f ca="1">F39/F20+L39/L20</f>
        <v>-64311.267119593984</v>
      </c>
      <c r="J42" s="223"/>
      <c r="K42" s="223"/>
      <c r="L42" s="223"/>
      <c r="M42" s="254"/>
      <c r="N42" s="64"/>
      <c r="O42" s="65"/>
    </row>
    <row r="43" spans="1:16" ht="20.5">
      <c r="A43" s="68"/>
      <c r="B43" s="223"/>
      <c r="C43" s="223"/>
      <c r="D43" s="236" t="s">
        <v>130</v>
      </c>
      <c r="E43" s="237"/>
      <c r="F43" s="237"/>
      <c r="G43" s="237"/>
      <c r="H43" s="237"/>
      <c r="I43" s="238">
        <f ca="1">E53</f>
        <v>78.022750441237278</v>
      </c>
      <c r="J43" s="223"/>
      <c r="K43" s="223"/>
      <c r="L43" s="223"/>
      <c r="M43" s="254"/>
      <c r="N43" s="64"/>
      <c r="O43" s="65"/>
    </row>
    <row r="44" spans="1:16" ht="20.5">
      <c r="A44" s="68"/>
      <c r="B44" s="223" t="s">
        <v>120</v>
      </c>
      <c r="C44" s="223"/>
      <c r="D44" s="223"/>
      <c r="E44" s="223"/>
      <c r="F44" s="223"/>
      <c r="G44" s="223"/>
      <c r="H44" s="223"/>
      <c r="I44" s="223"/>
      <c r="J44" s="223"/>
      <c r="K44" s="223"/>
      <c r="L44" s="223"/>
      <c r="M44" s="254"/>
      <c r="N44" s="64"/>
      <c r="O44" s="65"/>
      <c r="P44" s="81"/>
    </row>
    <row r="45" spans="1:16" ht="20.5">
      <c r="A45" s="68"/>
      <c r="B45" s="58" t="s">
        <v>121</v>
      </c>
      <c r="K45" s="325"/>
      <c r="L45" s="325"/>
      <c r="M45" s="57"/>
      <c r="N45" s="64"/>
      <c r="O45" s="65"/>
    </row>
    <row r="46" spans="1:16" ht="20.5">
      <c r="A46" s="68"/>
      <c r="B46" s="58" t="s">
        <v>122</v>
      </c>
      <c r="M46" s="57"/>
      <c r="N46" s="64"/>
      <c r="O46" s="65"/>
    </row>
    <row r="47" spans="1:16" ht="20.5">
      <c r="A47" s="68"/>
      <c r="B47" s="68"/>
      <c r="C47" s="68"/>
      <c r="D47" s="68"/>
      <c r="E47" s="68"/>
      <c r="F47" s="68"/>
      <c r="G47" s="68"/>
      <c r="H47" s="68"/>
      <c r="I47" s="68"/>
      <c r="M47" s="57"/>
      <c r="N47" s="64"/>
      <c r="O47" s="65"/>
    </row>
    <row r="48" spans="1:16">
      <c r="A48" s="68"/>
      <c r="B48" s="68"/>
      <c r="C48" s="68"/>
      <c r="D48" s="68"/>
      <c r="E48" s="68"/>
      <c r="F48" s="214">
        <f>SUM(C35,D35,E35,J35,K35)</f>
        <v>14013.674199999999</v>
      </c>
      <c r="G48" s="68"/>
      <c r="H48" s="68"/>
      <c r="I48" s="68"/>
      <c r="N48" s="65"/>
      <c r="O48" s="65"/>
    </row>
    <row r="49" spans="1:15">
      <c r="A49" s="68"/>
      <c r="B49" s="68"/>
      <c r="C49" s="68"/>
      <c r="D49" s="68"/>
      <c r="E49" s="68"/>
      <c r="F49" s="68"/>
      <c r="G49" s="68"/>
      <c r="H49" s="68"/>
      <c r="I49" s="68"/>
      <c r="N49" s="65"/>
      <c r="O49" s="65"/>
    </row>
    <row r="50" spans="1:15" ht="20.5">
      <c r="A50" s="99"/>
      <c r="B50" s="68"/>
      <c r="C50" s="68"/>
      <c r="D50" s="215">
        <f ca="1">((G39-50))*(-1)</f>
        <v>50.230405198652164</v>
      </c>
      <c r="E50" s="216"/>
      <c r="F50" s="215">
        <f ca="1">(M39-50)*(-1)</f>
        <v>322.22131726447009</v>
      </c>
      <c r="G50" s="68"/>
      <c r="H50" s="68"/>
      <c r="I50" s="68"/>
    </row>
    <row r="51" spans="1:15">
      <c r="B51" s="68"/>
      <c r="C51" s="68"/>
      <c r="D51" s="217">
        <f>(SUM(C35:E35)/F48)</f>
        <v>0.89781884610960916</v>
      </c>
      <c r="E51" s="68"/>
      <c r="F51" s="217">
        <f>(SUM(J35:K35)/F48)</f>
        <v>0.10218115389039087</v>
      </c>
      <c r="G51" s="68"/>
      <c r="H51" s="68"/>
      <c r="I51" s="68"/>
    </row>
    <row r="52" spans="1:15">
      <c r="B52" s="68"/>
      <c r="C52" s="68"/>
      <c r="D52" s="68"/>
      <c r="E52" s="68"/>
      <c r="F52" s="68"/>
      <c r="G52" s="68"/>
      <c r="H52" s="68"/>
      <c r="I52" s="68"/>
    </row>
    <row r="53" spans="1:15">
      <c r="B53" s="68"/>
      <c r="C53" s="68"/>
      <c r="D53" s="68"/>
      <c r="E53" s="215">
        <f ca="1">D50*D51+F50*F51</f>
        <v>78.022750441237278</v>
      </c>
      <c r="F53" s="68"/>
      <c r="G53" s="68"/>
      <c r="H53" s="68"/>
      <c r="I53" s="68"/>
    </row>
    <row r="54" spans="1:15">
      <c r="B54" s="68"/>
      <c r="C54" s="68"/>
      <c r="D54" s="68"/>
      <c r="E54" s="68"/>
      <c r="F54" s="68"/>
      <c r="G54" s="68"/>
      <c r="H54" s="68"/>
      <c r="I54" s="68"/>
    </row>
    <row r="55" spans="1:15">
      <c r="B55" s="68"/>
      <c r="C55" s="68"/>
      <c r="D55" s="68"/>
      <c r="E55" s="68"/>
      <c r="F55" s="68"/>
      <c r="G55" s="68"/>
      <c r="H55" s="68"/>
      <c r="I55" s="68"/>
    </row>
  </sheetData>
  <sheetProtection algorithmName="SHA-512" hashValue="212JCmv1BLSgmMv+E5njhasKOPzMyVlUGbp6Nb1jlXaG0qGa3J+0/goJgr9EO4/ML5bw2TVMil69BL7FzaqtdQ==" saltValue="ZZnvNiRQKWb2ihkW7mk7Eg==" spinCount="100000" sheet="1" objects="1" scenarios="1"/>
  <protectedRanges>
    <protectedRange algorithmName="SHA-512" hashValue="5VYhEUGpXZFPK9atiPO+n1/8MvVWPb+CHMLQIuLnJd6qeoMWyB183bMQRTMiGhANGIqp85aw8qI3/uL9tRIxaA==" saltValue="PDf3MUUftElP/8Ti5kNyLA==" spinCount="100000" sqref="C5:J8 A40:A47 B41:B47 A1:B39 J9 C1:L4 C10:L27 K6:L8 L5 C40:L47 C39:F39 H39:L39 C30:L38 C28:D29 K28:L29 F28:I29" name="Vicondo"/>
    <protectedRange algorithmName="SHA-512" hashValue="5VYhEUGpXZFPK9atiPO+n1/8MvVWPb+CHMLQIuLnJd6qeoMWyB183bMQRTMiGhANGIqp85aw8qI3/uL9tRIxaA==" saltValue="PDf3MUUftElP/8Ti5kNyLA==" spinCount="100000" sqref="D50:D51" name="Vicondo_1"/>
    <protectedRange algorithmName="SHA-512" hashValue="5VYhEUGpXZFPK9atiPO+n1/8MvVWPb+CHMLQIuLnJd6qeoMWyB183bMQRTMiGhANGIqp85aw8qI3/uL9tRIxaA==" saltValue="PDf3MUUftElP/8Ti5kNyLA==" spinCount="100000" sqref="G39" name="Vicondo_2"/>
    <protectedRange algorithmName="SHA-512" hashValue="5VYhEUGpXZFPK9atiPO+n1/8MvVWPb+CHMLQIuLnJd6qeoMWyB183bMQRTMiGhANGIqp85aw8qI3/uL9tRIxaA==" saltValue="PDf3MUUftElP/8Ti5kNyLA==" spinCount="100000" sqref="J28:J29" name="Vicondo_3"/>
    <protectedRange algorithmName="SHA-512" hashValue="5VYhEUGpXZFPK9atiPO+n1/8MvVWPb+CHMLQIuLnJd6qeoMWyB183bMQRTMiGhANGIqp85aw8qI3/uL9tRIxaA==" saltValue="PDf3MUUftElP/8Ti5kNyLA==" spinCount="100000" sqref="E28:E29" name="Vicondo_4"/>
  </protectedRanges>
  <mergeCells count="11">
    <mergeCell ref="K45:L45"/>
    <mergeCell ref="C23:E23"/>
    <mergeCell ref="C32:E32"/>
    <mergeCell ref="J23:K23"/>
    <mergeCell ref="J32:K32"/>
    <mergeCell ref="L35:L36"/>
    <mergeCell ref="I38:L38"/>
    <mergeCell ref="B38:F38"/>
    <mergeCell ref="L28:L29"/>
    <mergeCell ref="F28:F30"/>
    <mergeCell ref="F35:F36"/>
  </mergeCells>
  <conditionalFormatting sqref="I41">
    <cfRule type="cellIs" dxfId="11" priority="16" operator="equal">
      <formula>0</formula>
    </cfRule>
    <cfRule type="cellIs" dxfId="10" priority="17" operator="lessThan">
      <formula>0</formula>
    </cfRule>
    <cfRule type="cellIs" dxfId="9" priority="18" operator="greaterThan">
      <formula>0</formula>
    </cfRule>
  </conditionalFormatting>
  <conditionalFormatting sqref="I42">
    <cfRule type="cellIs" dxfId="8" priority="13" operator="equal">
      <formula>0</formula>
    </cfRule>
    <cfRule type="cellIs" dxfId="7" priority="14" operator="lessThan">
      <formula>0</formula>
    </cfRule>
    <cfRule type="cellIs" dxfId="6" priority="15" operator="greaterThan">
      <formula>0</formula>
    </cfRule>
  </conditionalFormatting>
  <conditionalFormatting sqref="F39">
    <cfRule type="cellIs" dxfId="5" priority="4" operator="equal">
      <formula>0</formula>
    </cfRule>
    <cfRule type="cellIs" dxfId="4" priority="5" operator="lessThan">
      <formula>0</formula>
    </cfRule>
    <cfRule type="cellIs" dxfId="3" priority="6" operator="greaterThan">
      <formula>0</formula>
    </cfRule>
  </conditionalFormatting>
  <conditionalFormatting sqref="L39">
    <cfRule type="cellIs" dxfId="2" priority="1" operator="equal">
      <formula>0</formula>
    </cfRule>
    <cfRule type="cellIs" dxfId="1" priority="2" operator="lessThan">
      <formula>0</formula>
    </cfRule>
    <cfRule type="cellIs" dxfId="0" priority="3" operator="greaterThan">
      <formula>0</formula>
    </cfRule>
  </conditionalFormatting>
  <dataValidations disablePrompts="1" count="1">
    <dataValidation allowBlank="1" showDropDown="1" showInputMessage="1" showErrorMessage="1" sqref="J9" xr:uid="{CF386E1C-5BB6-4ABD-88DE-1F07BBF35659}"/>
  </dataValidations>
  <pageMargins left="0.70866141732283472" right="0.70866141732283472" top="0.78740157480314965" bottom="0.78740157480314965" header="0.31496062992125984" footer="0.31496062992125984"/>
  <pageSetup paperSize="9" scale="44"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9FEC46-0D26-4207-B233-8FDFF7DB94D0}">
  <sheetPr>
    <tabColor theme="6"/>
  </sheetPr>
  <dimension ref="A2:J40"/>
  <sheetViews>
    <sheetView zoomScale="85" zoomScaleNormal="85" workbookViewId="0">
      <selection activeCell="E3" sqref="E3:F3"/>
    </sheetView>
  </sheetViews>
  <sheetFormatPr baseColWidth="10" defaultColWidth="11" defaultRowHeight="14.5"/>
  <cols>
    <col min="1" max="1" width="5" style="58" customWidth="1"/>
    <col min="2" max="2" width="35.36328125" style="58" customWidth="1"/>
    <col min="3" max="3" width="15.08984375" style="58" customWidth="1"/>
    <col min="4" max="4" width="18.1796875" style="58" customWidth="1"/>
    <col min="5" max="5" width="14" style="58" bestFit="1" customWidth="1"/>
    <col min="6" max="6" width="11.54296875" style="58" bestFit="1" customWidth="1"/>
    <col min="7" max="7" width="3.81640625" style="58" customWidth="1"/>
    <col min="8" max="8" width="7.26953125" style="58" customWidth="1"/>
    <col min="9" max="9" width="4.54296875" style="58" customWidth="1"/>
    <col min="10" max="10" width="14.1796875" style="58" bestFit="1" customWidth="1"/>
    <col min="11" max="16384" width="11" style="58"/>
  </cols>
  <sheetData>
    <row r="2" spans="1:10" ht="42" customHeight="1">
      <c r="B2" s="100" t="s">
        <v>125</v>
      </c>
      <c r="C2" s="100"/>
      <c r="D2" s="100"/>
      <c r="E2" s="100"/>
      <c r="F2" s="100"/>
    </row>
    <row r="3" spans="1:10" ht="31" customHeight="1">
      <c r="B3" s="347" t="s">
        <v>297</v>
      </c>
      <c r="C3" s="347"/>
      <c r="D3" s="347"/>
      <c r="E3" s="342" t="s">
        <v>294</v>
      </c>
      <c r="F3" s="343"/>
      <c r="H3" s="252" t="str">
        <f>IF(E3="Preisdatenbank","'Preisdatenbank'!","'Preisblatt'!")</f>
        <v>'Preisdatenbank'!</v>
      </c>
      <c r="J3" s="251" t="s">
        <v>293</v>
      </c>
    </row>
    <row r="4" spans="1:10" ht="16.5" customHeight="1">
      <c r="B4" s="250"/>
      <c r="C4" s="249"/>
      <c r="D4" s="249"/>
      <c r="E4" s="249"/>
      <c r="F4" s="249"/>
      <c r="G4" s="249"/>
    </row>
    <row r="5" spans="1:10" ht="29.15" customHeight="1">
      <c r="B5" s="347" t="s">
        <v>191</v>
      </c>
      <c r="C5" s="347"/>
      <c r="D5" s="347"/>
      <c r="E5" s="344" t="s">
        <v>192</v>
      </c>
      <c r="F5" s="345"/>
    </row>
    <row r="6" spans="1:10" ht="25.5">
      <c r="B6" s="100"/>
      <c r="C6" s="100"/>
    </row>
    <row r="7" spans="1:10" ht="23" customHeight="1" thickBot="1">
      <c r="A7" s="64"/>
      <c r="B7" s="340" t="str">
        <f>"Warenkorb pro Patient je 24h gemäß "</f>
        <v xml:space="preserve">Warenkorb pro Patient je 24h gemäß </v>
      </c>
      <c r="C7" s="340"/>
      <c r="D7" s="346" t="str">
        <f>E3</f>
        <v>Preisdatenbank</v>
      </c>
      <c r="E7" s="346"/>
      <c r="F7" s="346"/>
      <c r="G7" s="117"/>
    </row>
    <row r="8" spans="1:10" ht="15" customHeight="1">
      <c r="A8" s="64"/>
      <c r="B8" s="117"/>
      <c r="C8" s="117"/>
      <c r="D8" s="117"/>
      <c r="E8" s="117"/>
      <c r="F8" s="117"/>
      <c r="G8" s="117"/>
    </row>
    <row r="9" spans="1:10" ht="20.5">
      <c r="A9" s="64"/>
      <c r="B9" s="101" t="s">
        <v>0</v>
      </c>
      <c r="C9" s="102" t="s">
        <v>77</v>
      </c>
      <c r="D9" s="102" t="s">
        <v>48</v>
      </c>
      <c r="E9" s="102" t="s">
        <v>76</v>
      </c>
      <c r="F9" s="102" t="s">
        <v>78</v>
      </c>
      <c r="G9" s="117"/>
    </row>
    <row r="10" spans="1:10" ht="20.5">
      <c r="A10" s="64"/>
      <c r="B10" s="79" t="s">
        <v>49</v>
      </c>
      <c r="C10" s="80">
        <f ca="1">INDEX(INDIRECT($H$3&amp;"$A$5:$P$200",TRUE),MATCH(B10,INDIRECT($H$3&amp;"$A$5:$A$200",TRUE),0)+1,MATCH($E$5,INDIRECT($H$3&amp;"$A$5:$P$5",TRUE),0))</f>
        <v>0.10907381284257904</v>
      </c>
      <c r="D10" s="80" t="s">
        <v>83</v>
      </c>
      <c r="E10" s="103">
        <f>12/10</f>
        <v>1.2</v>
      </c>
      <c r="F10" s="104">
        <f ca="1">IFERROR(C10*E10,0)</f>
        <v>0.13088857541109483</v>
      </c>
      <c r="G10" s="117"/>
    </row>
    <row r="11" spans="1:10" ht="20.5">
      <c r="A11" s="64"/>
      <c r="B11" s="156" t="s">
        <v>71</v>
      </c>
      <c r="C11" s="82">
        <f ca="1">SUM(C10:C10)</f>
        <v>0.10907381284257904</v>
      </c>
      <c r="D11" s="82"/>
      <c r="E11" s="157"/>
      <c r="F11" s="82">
        <f ca="1">SUM(F10:F10)</f>
        <v>0.13088857541109483</v>
      </c>
      <c r="G11" s="117"/>
    </row>
    <row r="12" spans="1:10" ht="20.5">
      <c r="A12" s="64"/>
      <c r="B12" s="65"/>
      <c r="C12" s="106"/>
      <c r="D12" s="106"/>
      <c r="E12" s="65"/>
      <c r="F12" s="106"/>
      <c r="G12" s="117"/>
    </row>
    <row r="13" spans="1:10" ht="20.5">
      <c r="A13" s="64"/>
      <c r="B13" s="101" t="s">
        <v>1</v>
      </c>
      <c r="C13" s="101" t="s">
        <v>77</v>
      </c>
      <c r="D13" s="102" t="s">
        <v>48</v>
      </c>
      <c r="E13" s="101" t="s">
        <v>76</v>
      </c>
      <c r="F13" s="101" t="s">
        <v>78</v>
      </c>
      <c r="G13" s="117"/>
    </row>
    <row r="14" spans="1:10" ht="20.5">
      <c r="A14" s="64"/>
      <c r="B14" s="79" t="s">
        <v>49</v>
      </c>
      <c r="C14" s="80">
        <f ca="1">INDEX(INDIRECT($H$3&amp;"$A$5:$P$200",TRUE),MATCH(B14,INDIRECT($H$3&amp;"$A$5:$A$200",TRUE),0)+1,MATCH($E$5,INDIRECT($H$3&amp;"$A$5:$P$5",TRUE),0))</f>
        <v>0.10907381284257904</v>
      </c>
      <c r="D14" s="80" t="s">
        <v>83</v>
      </c>
      <c r="E14" s="107">
        <v>20</v>
      </c>
      <c r="F14" s="104">
        <f t="shared" ref="F14:F16" ca="1" si="0">IFERROR(C14*E14,0)</f>
        <v>2.1814762568515809</v>
      </c>
      <c r="G14" s="117"/>
    </row>
    <row r="15" spans="1:10" ht="20.5">
      <c r="A15" s="64"/>
      <c r="B15" s="79" t="s">
        <v>66</v>
      </c>
      <c r="C15" s="80">
        <f ca="1">INDEX(INDIRECT($H$3&amp;"$A$5:$P$200",TRUE),MATCH(B15,INDIRECT($H$3&amp;"$A$5:$A$200",TRUE),0)+1,MATCH($E$5,INDIRECT($H$3&amp;"$A$5:$P$5",TRUE),0))</f>
        <v>2.6798194444444447E-2</v>
      </c>
      <c r="D15" s="184" t="s">
        <v>83</v>
      </c>
      <c r="E15" s="107">
        <v>20</v>
      </c>
      <c r="F15" s="104">
        <f t="shared" ca="1" si="0"/>
        <v>0.53596388888888891</v>
      </c>
      <c r="G15" s="117"/>
    </row>
    <row r="16" spans="1:10" ht="20.5">
      <c r="A16" s="64"/>
      <c r="B16" s="79" t="s">
        <v>68</v>
      </c>
      <c r="C16" s="80">
        <f ca="1">INDEX(INDIRECT($H$3&amp;"$A$5:$P$200",TRUE),MATCH(B16,INDIRECT($H$3&amp;"$A$5:$A$200",TRUE),0)+1,MATCH($E$5,INDIRECT($H$3&amp;"$A$5:$P$5",TRUE),0))</f>
        <v>0.40437812500000003</v>
      </c>
      <c r="D16" s="80" t="s">
        <v>83</v>
      </c>
      <c r="E16" s="107">
        <v>20</v>
      </c>
      <c r="F16" s="104">
        <f t="shared" ca="1" si="0"/>
        <v>8.0875625000000007</v>
      </c>
      <c r="G16" s="117"/>
    </row>
    <row r="17" spans="1:7" ht="20.5">
      <c r="A17" s="64"/>
      <c r="B17" s="156" t="s">
        <v>71</v>
      </c>
      <c r="C17" s="82">
        <f ca="1">SUM(C14:C16)</f>
        <v>0.54025013228702345</v>
      </c>
      <c r="D17" s="82"/>
      <c r="E17" s="79"/>
      <c r="F17" s="158">
        <f ca="1">SUM(F14:F16)</f>
        <v>10.805002645740471</v>
      </c>
      <c r="G17" s="117"/>
    </row>
    <row r="18" spans="1:7" ht="20.5">
      <c r="A18" s="64"/>
      <c r="B18" s="65"/>
      <c r="C18" s="106"/>
      <c r="D18" s="106"/>
      <c r="E18" s="65"/>
      <c r="F18" s="65"/>
      <c r="G18" s="117"/>
    </row>
    <row r="19" spans="1:7" ht="20.5">
      <c r="A19" s="64"/>
      <c r="B19" s="101" t="s">
        <v>2</v>
      </c>
      <c r="C19" s="101" t="s">
        <v>77</v>
      </c>
      <c r="D19" s="102" t="s">
        <v>48</v>
      </c>
      <c r="E19" s="101" t="s">
        <v>76</v>
      </c>
      <c r="F19" s="101" t="s">
        <v>78</v>
      </c>
      <c r="G19" s="117"/>
    </row>
    <row r="20" spans="1:7" ht="20.5">
      <c r="A20" s="64"/>
      <c r="B20" s="79" t="s">
        <v>57</v>
      </c>
      <c r="C20" s="80">
        <f ca="1">INDEX(INDIRECT($H$3&amp;"$A$5:$P$200",TRUE),MATCH(B20,INDIRECT($H$3&amp;"$A$5:$A$200",TRUE),0)+1,MATCH($E$5,INDIRECT($H$3&amp;"$A$5:$P$5",TRUE),0))</f>
        <v>2.2373501542189906</v>
      </c>
      <c r="D20" s="80" t="s">
        <v>83</v>
      </c>
      <c r="E20" s="107">
        <v>20</v>
      </c>
      <c r="F20" s="104">
        <f t="shared" ref="F20:F23" ca="1" si="1">IFERROR(C20*E20,0)</f>
        <v>44.747003084379813</v>
      </c>
      <c r="G20" s="117"/>
    </row>
    <row r="21" spans="1:7" ht="20.5">
      <c r="A21" s="64"/>
      <c r="B21" s="79" t="s">
        <v>66</v>
      </c>
      <c r="C21" s="80">
        <f ca="1">INDEX(INDIRECT($H$3&amp;"$A$5:$P$200",TRUE),MATCH(B21,INDIRECT($H$3&amp;"$A$5:$A$200",TRUE),0)+1,MATCH($E$5,INDIRECT($H$3&amp;"$A$5:$P$5",TRUE),0))</f>
        <v>2.6798194444444447E-2</v>
      </c>
      <c r="D21" s="184" t="s">
        <v>83</v>
      </c>
      <c r="E21" s="107">
        <v>20</v>
      </c>
      <c r="F21" s="104">
        <f t="shared" ca="1" si="1"/>
        <v>0.53596388888888891</v>
      </c>
      <c r="G21" s="117"/>
    </row>
    <row r="22" spans="1:7" ht="20.5">
      <c r="A22" s="64"/>
      <c r="B22" s="79" t="s">
        <v>68</v>
      </c>
      <c r="C22" s="80">
        <f ca="1">INDEX(INDIRECT($H$3&amp;"$A$5:$P$200",TRUE),MATCH(B22,INDIRECT($H$3&amp;"$A$5:$A$200",TRUE),0)+1,MATCH($E$5,INDIRECT($H$3&amp;"$A$5:$P$5",TRUE),0))</f>
        <v>0.40437812500000003</v>
      </c>
      <c r="D22" s="80" t="s">
        <v>83</v>
      </c>
      <c r="E22" s="107">
        <v>20</v>
      </c>
      <c r="F22" s="104">
        <f t="shared" ca="1" si="1"/>
        <v>8.0875625000000007</v>
      </c>
      <c r="G22" s="117"/>
    </row>
    <row r="23" spans="1:7" ht="20.5">
      <c r="A23" s="64"/>
      <c r="B23" s="79" t="s">
        <v>69</v>
      </c>
      <c r="C23" s="80">
        <f ca="1">INDEX(INDIRECT($H$3&amp;"$A$5:$P$200",TRUE),MATCH(B23,INDIRECT($H$3&amp;"$A$5:$A$200",TRUE),0)+1,MATCH($E$5,INDIRECT($H$3&amp;"$A$5:$P$5",TRUE),0))</f>
        <v>1.8118416666666664</v>
      </c>
      <c r="D23" s="80" t="s">
        <v>83</v>
      </c>
      <c r="E23" s="107">
        <v>20</v>
      </c>
      <c r="F23" s="104">
        <f t="shared" ca="1" si="1"/>
        <v>36.23683333333333</v>
      </c>
      <c r="G23" s="117"/>
    </row>
    <row r="24" spans="1:7" ht="20.5">
      <c r="A24" s="64"/>
      <c r="B24" s="156" t="s">
        <v>71</v>
      </c>
      <c r="C24" s="82">
        <f ca="1">SUM(C20:C23)</f>
        <v>4.4803681403301017</v>
      </c>
      <c r="D24" s="82"/>
      <c r="E24" s="79"/>
      <c r="F24" s="158">
        <f ca="1">SUM(F20:F23)</f>
        <v>89.607362806602026</v>
      </c>
      <c r="G24" s="117"/>
    </row>
    <row r="25" spans="1:7" ht="20.5">
      <c r="A25" s="64"/>
      <c r="B25" s="98"/>
      <c r="C25" s="105"/>
      <c r="D25" s="105"/>
      <c r="E25" s="65"/>
      <c r="F25" s="108"/>
      <c r="G25" s="117"/>
    </row>
    <row r="26" spans="1:7" ht="20.5">
      <c r="A26" s="64"/>
      <c r="B26" s="101" t="s">
        <v>45</v>
      </c>
      <c r="C26" s="101" t="s">
        <v>77</v>
      </c>
      <c r="D26" s="102" t="s">
        <v>48</v>
      </c>
      <c r="E26" s="101" t="s">
        <v>76</v>
      </c>
      <c r="F26" s="101" t="s">
        <v>78</v>
      </c>
      <c r="G26" s="117"/>
    </row>
    <row r="27" spans="1:7" ht="20.5">
      <c r="A27" s="64"/>
      <c r="B27" s="79" t="s">
        <v>49</v>
      </c>
      <c r="C27" s="80">
        <f ca="1">INDEX(INDIRECT($H$3&amp;"$A$5:$P$200",TRUE),MATCH(B27,INDIRECT($H$3&amp;"$A$5:$A$200",TRUE),0)+1,MATCH($E$5,INDIRECT($H$3&amp;"$A$5:$P$5",TRUE),0))</f>
        <v>0.10907381284257904</v>
      </c>
      <c r="D27" s="80" t="s">
        <v>83</v>
      </c>
      <c r="E27" s="107">
        <v>10</v>
      </c>
      <c r="F27" s="104">
        <f t="shared" ref="F27:F29" ca="1" si="2">IFERROR(C27*E27,0)</f>
        <v>1.0907381284257904</v>
      </c>
      <c r="G27" s="117"/>
    </row>
    <row r="28" spans="1:7" ht="20.5">
      <c r="A28" s="64"/>
      <c r="B28" s="79" t="s">
        <v>66</v>
      </c>
      <c r="C28" s="80">
        <f ca="1">INDEX(INDIRECT($H$3&amp;"$A$5:$P$200",TRUE),MATCH(B28,INDIRECT($H$3&amp;"$A$5:$A$200",TRUE),0)+1,MATCH($E$5,INDIRECT($H$3&amp;"$A$5:$P$5",TRUE),0))</f>
        <v>2.6798194444444447E-2</v>
      </c>
      <c r="D28" s="184" t="s">
        <v>83</v>
      </c>
      <c r="E28" s="107">
        <v>10</v>
      </c>
      <c r="F28" s="104">
        <f t="shared" ca="1" si="2"/>
        <v>0.26798194444444445</v>
      </c>
      <c r="G28" s="117"/>
    </row>
    <row r="29" spans="1:7" ht="20.5">
      <c r="A29" s="64"/>
      <c r="B29" s="79" t="s">
        <v>68</v>
      </c>
      <c r="C29" s="80">
        <f ca="1">INDEX(INDIRECT($H$3&amp;"$A$5:$P$200",TRUE),MATCH(B29,INDIRECT($H$3&amp;"$A$5:$A$200",TRUE),0)+1,MATCH($E$5,INDIRECT($H$3&amp;"$A$5:$P$5",TRUE),0))</f>
        <v>0.40437812500000003</v>
      </c>
      <c r="D29" s="80" t="s">
        <v>83</v>
      </c>
      <c r="E29" s="107">
        <v>4</v>
      </c>
      <c r="F29" s="104">
        <f t="shared" ca="1" si="2"/>
        <v>1.6175125000000001</v>
      </c>
      <c r="G29" s="117"/>
    </row>
    <row r="30" spans="1:7" ht="20.5">
      <c r="A30" s="64"/>
      <c r="B30" s="156" t="s">
        <v>71</v>
      </c>
      <c r="C30" s="82">
        <f ca="1">SUM(C27:C29)</f>
        <v>0.54025013228702345</v>
      </c>
      <c r="D30" s="82"/>
      <c r="E30" s="79"/>
      <c r="F30" s="158">
        <f ca="1">SUM(F27:F29)</f>
        <v>2.9762325728702352</v>
      </c>
      <c r="G30" s="117"/>
    </row>
    <row r="31" spans="1:7" ht="20.5">
      <c r="A31" s="64"/>
      <c r="B31" s="65"/>
      <c r="C31" s="106"/>
      <c r="D31" s="106"/>
      <c r="E31" s="65"/>
      <c r="F31" s="65"/>
      <c r="G31" s="117"/>
    </row>
    <row r="32" spans="1:7" ht="20.5">
      <c r="A32" s="64"/>
      <c r="B32" s="101" t="s">
        <v>82</v>
      </c>
      <c r="C32" s="101" t="s">
        <v>77</v>
      </c>
      <c r="D32" s="102" t="s">
        <v>48</v>
      </c>
      <c r="E32" s="101" t="s">
        <v>76</v>
      </c>
      <c r="F32" s="101" t="s">
        <v>78</v>
      </c>
      <c r="G32" s="117"/>
    </row>
    <row r="33" spans="1:7" ht="20.5">
      <c r="A33" s="64"/>
      <c r="B33" s="79" t="s">
        <v>57</v>
      </c>
      <c r="C33" s="80">
        <f ca="1">INDEX(INDIRECT($H$3&amp;"$A$5:$P$200",TRUE),MATCH(B33,INDIRECT($H$3&amp;"$A$5:$A$200",TRUE),0)+1,MATCH($E$5,INDIRECT($H$3&amp;"$A$5:$P$5",TRUE),0))</f>
        <v>2.2373501542189906</v>
      </c>
      <c r="D33" s="80" t="s">
        <v>83</v>
      </c>
      <c r="E33" s="107">
        <v>20</v>
      </c>
      <c r="F33" s="104">
        <f t="shared" ref="F33:F37" ca="1" si="3">IFERROR(C33*E33,0)</f>
        <v>44.747003084379813</v>
      </c>
      <c r="G33" s="117"/>
    </row>
    <row r="34" spans="1:7" ht="20.5">
      <c r="A34" s="64"/>
      <c r="B34" s="79" t="s">
        <v>66</v>
      </c>
      <c r="C34" s="80">
        <f ca="1">INDEX(INDIRECT($H$3&amp;"$A$5:$P$200",TRUE),MATCH(B34,INDIRECT($H$3&amp;"$A$5:$A$200",TRUE),0)+1,MATCH($E$5,INDIRECT($H$3&amp;"$A$5:$P$5",TRUE),0))</f>
        <v>2.6798194444444447E-2</v>
      </c>
      <c r="D34" s="184" t="s">
        <v>83</v>
      </c>
      <c r="E34" s="107">
        <v>26</v>
      </c>
      <c r="F34" s="104">
        <f t="shared" ca="1" si="3"/>
        <v>0.69675305555555567</v>
      </c>
      <c r="G34" s="117"/>
    </row>
    <row r="35" spans="1:7" ht="20.5">
      <c r="A35" s="64"/>
      <c r="B35" s="79" t="s">
        <v>68</v>
      </c>
      <c r="C35" s="80">
        <f ca="1">INDEX(INDIRECT($H$3&amp;"$A$5:$P$200",TRUE),MATCH(B35,INDIRECT($H$3&amp;"$A$5:$A$200",TRUE),0)+1,MATCH($E$5,INDIRECT($H$3&amp;"$A$5:$P$5",TRUE),0))</f>
        <v>0.40437812500000003</v>
      </c>
      <c r="D35" s="80" t="s">
        <v>83</v>
      </c>
      <c r="E35" s="107">
        <v>26</v>
      </c>
      <c r="F35" s="104">
        <f t="shared" ca="1" si="3"/>
        <v>10.513831250000001</v>
      </c>
      <c r="G35" s="117"/>
    </row>
    <row r="36" spans="1:7" ht="20.5">
      <c r="A36" s="64"/>
      <c r="B36" s="79" t="s">
        <v>69</v>
      </c>
      <c r="C36" s="80">
        <f ca="1">INDEX(INDIRECT($H$3&amp;"$A$5:$P$200",TRUE),MATCH(B36,INDIRECT($H$3&amp;"$A$5:$A$200",TRUE),0)+1,MATCH($E$5,INDIRECT($H$3&amp;"$A$5:$P$5",TRUE),0))</f>
        <v>1.8118416666666664</v>
      </c>
      <c r="D36" s="80" t="s">
        <v>83</v>
      </c>
      <c r="E36" s="107">
        <v>26</v>
      </c>
      <c r="F36" s="104">
        <f t="shared" ca="1" si="3"/>
        <v>47.107883333333326</v>
      </c>
      <c r="G36" s="117"/>
    </row>
    <row r="37" spans="1:7" ht="20.5">
      <c r="A37" s="64"/>
      <c r="B37" s="79" t="s">
        <v>61</v>
      </c>
      <c r="C37" s="80">
        <f ca="1">INDEX(INDIRECT($H$3&amp;"$A$5:$P$200",TRUE),MATCH(B37,INDIRECT($H$3&amp;"$A$5:$A$200",TRUE),0)+1,MATCH($E$5,INDIRECT($H$3&amp;"$A$5:$P$5",TRUE),0))</f>
        <v>3.6811331944444441</v>
      </c>
      <c r="D37" s="80" t="s">
        <v>83</v>
      </c>
      <c r="E37" s="109">
        <f>4/21</f>
        <v>0.19047619047619047</v>
      </c>
      <c r="F37" s="104">
        <f t="shared" ca="1" si="3"/>
        <v>0.70116822751322738</v>
      </c>
      <c r="G37" s="117"/>
    </row>
    <row r="38" spans="1:7" ht="20.5">
      <c r="A38" s="64"/>
      <c r="B38" s="156" t="s">
        <v>71</v>
      </c>
      <c r="C38" s="82">
        <f ca="1">SUM(C33:C37)</f>
        <v>8.1615013347745453</v>
      </c>
      <c r="D38" s="82"/>
      <c r="E38" s="79"/>
      <c r="F38" s="158">
        <f ca="1">SUM(F33:F37)</f>
        <v>103.76663895078192</v>
      </c>
      <c r="G38" s="117"/>
    </row>
    <row r="39" spans="1:7" ht="20.5">
      <c r="A39" s="64"/>
      <c r="B39" s="65"/>
      <c r="C39" s="65"/>
      <c r="D39" s="65"/>
      <c r="E39" s="65"/>
      <c r="F39" s="65"/>
      <c r="G39" s="65"/>
    </row>
    <row r="40" spans="1:7" ht="20.5">
      <c r="A40" s="57"/>
      <c r="B40" s="341"/>
      <c r="C40" s="341"/>
      <c r="D40" s="341"/>
      <c r="E40" s="341"/>
      <c r="F40" s="341"/>
    </row>
  </sheetData>
  <sheetProtection algorithmName="SHA-512" hashValue="pVePzbWTEIgdV6A+ybnghT3I7BZzxYqnLqxs6Qlnu4izA9P9rTXfgrmq8gOMP0xrd5QIRp/hWkrKqON80X9YMg==" saltValue="ck+4gRMQTR1/a1GWoaiviw==" spinCount="100000" sheet="1" objects="1" scenarios="1"/>
  <protectedRanges>
    <protectedRange algorithmName="SHA-512" hashValue="5VYhEUGpXZFPK9atiPO+n1/8MvVWPb+CHMLQIuLnJd6qeoMWyB183bMQRTMiGhANGIqp85aw8qI3/uL9tRIxaA==" saltValue="PDf3MUUftElP/8Ti5kNyLA==" spinCount="100000" sqref="E5" name="Vicondo_1"/>
  </protectedRanges>
  <mergeCells count="7">
    <mergeCell ref="B7:C7"/>
    <mergeCell ref="B40:F40"/>
    <mergeCell ref="E3:F3"/>
    <mergeCell ref="E5:F5"/>
    <mergeCell ref="D7:F7"/>
    <mergeCell ref="B3:D3"/>
    <mergeCell ref="B5:D5"/>
  </mergeCells>
  <dataValidations count="1">
    <dataValidation type="list" allowBlank="1" showInputMessage="1" showErrorMessage="1" sqref="E3:F3" xr:uid="{FCBCD54D-5366-40D8-B7A7-306A7F15BE12}">
      <formula1>"Preisdatenbank,Krankenhaus-individuelle Preise"</formula1>
    </dataValidation>
  </dataValidations>
  <pageMargins left="0.7" right="0.7" top="0.78740157499999996" bottom="0.78740157499999996"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52D29DFC-E3B5-4397-A669-64BBBB6A4851}">
          <x14:formula1>
            <xm:f>Preisdatenbank!$E$5:$P$5</xm:f>
          </x14:formula1>
          <xm:sqref>E5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97983-56EC-40E8-BFCA-64B7A4F44840}">
  <sheetPr>
    <tabColor theme="2"/>
    <pageSetUpPr fitToPage="1"/>
  </sheetPr>
  <dimension ref="A2:T165"/>
  <sheetViews>
    <sheetView topLeftCell="A52" zoomScale="85" zoomScaleNormal="85" workbookViewId="0">
      <selection activeCell="G20" sqref="G20"/>
    </sheetView>
  </sheetViews>
  <sheetFormatPr baseColWidth="10" defaultColWidth="11" defaultRowHeight="14.5"/>
  <cols>
    <col min="1" max="1" width="13.81640625" style="119" customWidth="1"/>
    <col min="2" max="2" width="14.54296875" style="119" customWidth="1"/>
    <col min="3" max="3" width="14.26953125" style="119" customWidth="1"/>
    <col min="4" max="7" width="11" style="119"/>
    <col min="8" max="8" width="12.54296875" style="119" customWidth="1"/>
    <col min="9" max="9" width="13.1796875" style="119" customWidth="1"/>
    <col min="10" max="10" width="12.1796875" style="119" customWidth="1"/>
    <col min="11" max="11" width="11" style="119"/>
    <col min="12" max="13" width="11" style="119" customWidth="1"/>
    <col min="14" max="14" width="12.81640625" style="119" customWidth="1"/>
    <col min="15" max="15" width="18.1796875" style="119" customWidth="1"/>
    <col min="16" max="16" width="17.54296875" style="119" customWidth="1"/>
    <col min="17" max="17" width="49.1796875" style="120" bestFit="1" customWidth="1"/>
    <col min="18" max="18" width="11" style="120"/>
    <col min="19" max="16384" width="11" style="119"/>
  </cols>
  <sheetData>
    <row r="2" spans="1:19" ht="18">
      <c r="A2" s="118" t="s">
        <v>147</v>
      </c>
    </row>
    <row r="3" spans="1:19" ht="18">
      <c r="A3" s="118"/>
    </row>
    <row r="5" spans="1:19" ht="52">
      <c r="A5" s="182" t="s">
        <v>49</v>
      </c>
      <c r="B5" s="132" t="s">
        <v>46</v>
      </c>
      <c r="C5" s="121" t="s">
        <v>47</v>
      </c>
      <c r="D5" s="132" t="s">
        <v>48</v>
      </c>
      <c r="E5" s="121" t="s">
        <v>95</v>
      </c>
      <c r="F5" s="121" t="s">
        <v>96</v>
      </c>
      <c r="G5" s="121" t="s">
        <v>97</v>
      </c>
      <c r="H5" s="121" t="s">
        <v>98</v>
      </c>
      <c r="I5" s="133" t="s">
        <v>99</v>
      </c>
      <c r="J5" s="121" t="s">
        <v>100</v>
      </c>
      <c r="K5" s="121" t="s">
        <v>101</v>
      </c>
      <c r="L5" s="121" t="s">
        <v>102</v>
      </c>
      <c r="M5" s="121" t="s">
        <v>103</v>
      </c>
      <c r="N5" s="121" t="s">
        <v>192</v>
      </c>
      <c r="O5" s="121" t="s">
        <v>210</v>
      </c>
      <c r="P5" s="121" t="s">
        <v>211</v>
      </c>
      <c r="Q5" s="121" t="s">
        <v>93</v>
      </c>
      <c r="R5" s="119"/>
    </row>
    <row r="6" spans="1:19">
      <c r="A6" s="147" t="str">
        <f>"Mittelwert "&amp;A5</f>
        <v>Mittelwert MNS einfach</v>
      </c>
      <c r="B6" s="178"/>
      <c r="C6" s="179"/>
      <c r="D6" s="179"/>
      <c r="E6" s="180">
        <f t="shared" ref="E6:M6" si="0">IF(IFERROR(AVERAGE(E7:E37),0)=0,"",IFERROR(AVERAGE(E7:E37),0))</f>
        <v>6.4000000000000001E-2</v>
      </c>
      <c r="F6" s="180">
        <f t="shared" si="0"/>
        <v>6.4000000000000001E-2</v>
      </c>
      <c r="G6" s="180">
        <f t="shared" si="0"/>
        <v>8.2145414591762153E-2</v>
      </c>
      <c r="H6" s="180">
        <f t="shared" si="0"/>
        <v>0.10968412213208278</v>
      </c>
      <c r="I6" s="180">
        <f t="shared" si="0"/>
        <v>0.11366749698113976</v>
      </c>
      <c r="J6" s="180">
        <f t="shared" si="0"/>
        <v>0.14119346903564753</v>
      </c>
      <c r="K6" s="180">
        <f t="shared" si="0"/>
        <v>0.24440000000000001</v>
      </c>
      <c r="L6" s="180">
        <f t="shared" si="0"/>
        <v>5.3500000000000006E-2</v>
      </c>
      <c r="M6" s="180" t="str">
        <f t="shared" si="0"/>
        <v/>
      </c>
      <c r="N6" s="180">
        <f>IFERROR(AVERAGE(E6:M6),0)</f>
        <v>0.10907381284257904</v>
      </c>
      <c r="O6" s="180">
        <f>IFERROR(AVERAGE(E6:G6),0)</f>
        <v>7.0048471530587395E-2</v>
      </c>
      <c r="P6" s="180">
        <f>IFERROR(AVERAGE(H6:M6),0)</f>
        <v>0.132489017629774</v>
      </c>
      <c r="Q6" s="134"/>
      <c r="R6" s="119"/>
      <c r="S6" s="123"/>
    </row>
    <row r="7" spans="1:19">
      <c r="A7" s="349" t="s">
        <v>182</v>
      </c>
      <c r="B7" s="153" t="s">
        <v>56</v>
      </c>
      <c r="C7" s="166">
        <v>62100</v>
      </c>
      <c r="D7" s="139" t="s">
        <v>51</v>
      </c>
      <c r="E7" s="152">
        <v>3.4000000000000002E-2</v>
      </c>
      <c r="F7" s="152">
        <v>3.4000000000000002E-2</v>
      </c>
      <c r="G7" s="152">
        <v>3.4000000000000002E-2</v>
      </c>
      <c r="H7" s="152">
        <v>3.4000000000000002E-2</v>
      </c>
      <c r="I7" s="177"/>
      <c r="J7" s="177"/>
      <c r="K7" s="177"/>
      <c r="L7" s="151"/>
      <c r="M7" s="151"/>
      <c r="N7" s="183">
        <f>IFERROR(AVERAGE(E7:M7),0)</f>
        <v>3.4000000000000002E-2</v>
      </c>
      <c r="O7" s="183">
        <f>IFERROR(AVERAGE(E7:G7),0)</f>
        <v>3.4000000000000002E-2</v>
      </c>
      <c r="P7" s="183">
        <f>IFERROR(AVERAGE(H7:M7),0)</f>
        <v>3.4000000000000002E-2</v>
      </c>
      <c r="Q7" s="134" t="s">
        <v>204</v>
      </c>
      <c r="R7" s="119"/>
    </row>
    <row r="8" spans="1:19" ht="36">
      <c r="A8" s="351"/>
      <c r="B8" s="154" t="s">
        <v>131</v>
      </c>
      <c r="C8" s="166"/>
      <c r="D8" s="153"/>
      <c r="E8" s="177"/>
      <c r="F8" s="177"/>
      <c r="G8" s="177"/>
      <c r="H8" s="152">
        <v>0.67900000000000005</v>
      </c>
      <c r="I8" s="152">
        <v>0.67900000000000005</v>
      </c>
      <c r="J8" s="152">
        <v>0.67900000000000005</v>
      </c>
      <c r="K8" s="152">
        <v>0.67900000000000005</v>
      </c>
      <c r="L8" s="151"/>
      <c r="M8" s="151"/>
      <c r="N8" s="183">
        <f>IFERROR(AVERAGE(E8:M8),0)</f>
        <v>0.67900000000000005</v>
      </c>
      <c r="O8" s="183">
        <f t="shared" ref="O8:O36" si="1">IFERROR(AVERAGE(E8:G8),0)</f>
        <v>0</v>
      </c>
      <c r="P8" s="183">
        <f t="shared" ref="P8:P36" si="2">IFERROR(AVERAGE(H8:M8),0)</f>
        <v>0.67900000000000005</v>
      </c>
      <c r="Q8" s="134"/>
      <c r="R8" s="119"/>
    </row>
    <row r="9" spans="1:19">
      <c r="A9" s="349" t="s">
        <v>149</v>
      </c>
      <c r="B9" s="153" t="s">
        <v>132</v>
      </c>
      <c r="C9" s="166">
        <v>1992</v>
      </c>
      <c r="D9" s="153" t="s">
        <v>51</v>
      </c>
      <c r="E9" s="152">
        <v>4.2799999999999998E-2</v>
      </c>
      <c r="F9" s="152">
        <v>4.2799999999999998E-2</v>
      </c>
      <c r="G9" s="152">
        <v>4.2799999999999998E-2</v>
      </c>
      <c r="H9" s="152">
        <v>4.2799999999999998E-2</v>
      </c>
      <c r="I9" s="152">
        <v>4.2799999999999998E-2</v>
      </c>
      <c r="J9" s="152"/>
      <c r="K9" s="173"/>
      <c r="L9" s="151"/>
      <c r="M9" s="151"/>
      <c r="N9" s="183">
        <f t="shared" ref="N9:N36" si="3">IFERROR(AVERAGE(E9:M9),0)</f>
        <v>4.2799999999999998E-2</v>
      </c>
      <c r="O9" s="183">
        <f t="shared" si="1"/>
        <v>4.2799999999999998E-2</v>
      </c>
      <c r="P9" s="183">
        <f t="shared" si="2"/>
        <v>4.2799999999999998E-2</v>
      </c>
      <c r="Q9" s="134"/>
      <c r="R9" s="119"/>
    </row>
    <row r="10" spans="1:19">
      <c r="A10" s="351"/>
      <c r="B10" s="153" t="s">
        <v>133</v>
      </c>
      <c r="C10" s="166">
        <v>657000</v>
      </c>
      <c r="D10" s="153" t="s">
        <v>51</v>
      </c>
      <c r="E10" s="152">
        <v>7.5200000000000003E-2</v>
      </c>
      <c r="F10" s="152">
        <v>7.5200000000000003E-2</v>
      </c>
      <c r="G10" s="152">
        <v>7.5200000000000003E-2</v>
      </c>
      <c r="H10" s="152">
        <v>7.5200000000000003E-2</v>
      </c>
      <c r="I10" s="152">
        <v>7.5200000000000003E-2</v>
      </c>
      <c r="J10" s="152">
        <v>0.49980000000000002</v>
      </c>
      <c r="K10" s="173"/>
      <c r="L10" s="151"/>
      <c r="M10" s="151"/>
      <c r="N10" s="183">
        <f t="shared" si="3"/>
        <v>0.14596666666666666</v>
      </c>
      <c r="O10" s="183">
        <f t="shared" si="1"/>
        <v>7.5200000000000003E-2</v>
      </c>
      <c r="P10" s="183">
        <f t="shared" si="2"/>
        <v>0.21673333333333333</v>
      </c>
      <c r="Q10" s="134"/>
      <c r="R10" s="119"/>
    </row>
    <row r="11" spans="1:19" ht="14.25" customHeight="1">
      <c r="A11" s="349" t="s">
        <v>150</v>
      </c>
      <c r="B11" s="139" t="s">
        <v>52</v>
      </c>
      <c r="C11" s="155">
        <v>1826</v>
      </c>
      <c r="D11" s="139" t="s">
        <v>51</v>
      </c>
      <c r="E11" s="149">
        <v>3.5999999999999997E-2</v>
      </c>
      <c r="F11" s="149">
        <v>3.5999999999999997E-2</v>
      </c>
      <c r="G11" s="149">
        <v>3.5999999999999997E-2</v>
      </c>
      <c r="H11" s="149">
        <v>3.5999999999999997E-2</v>
      </c>
      <c r="I11" s="149">
        <v>3.5999999999999997E-2</v>
      </c>
      <c r="J11" s="149">
        <v>3.5999999999999997E-2</v>
      </c>
      <c r="K11" s="149">
        <v>3.5999999999999997E-2</v>
      </c>
      <c r="L11" s="149"/>
      <c r="M11" s="151"/>
      <c r="N11" s="183">
        <f t="shared" si="3"/>
        <v>3.5999999999999997E-2</v>
      </c>
      <c r="O11" s="183">
        <f t="shared" si="1"/>
        <v>3.5999999999999997E-2</v>
      </c>
      <c r="P11" s="183">
        <f t="shared" si="2"/>
        <v>3.5999999999999997E-2</v>
      </c>
      <c r="Q11" s="134" t="s">
        <v>205</v>
      </c>
      <c r="R11" s="119"/>
    </row>
    <row r="12" spans="1:19">
      <c r="A12" s="348"/>
      <c r="B12" s="139" t="s">
        <v>52</v>
      </c>
      <c r="C12" s="155" t="s">
        <v>53</v>
      </c>
      <c r="D12" s="139" t="s">
        <v>51</v>
      </c>
      <c r="E12" s="149"/>
      <c r="F12" s="149"/>
      <c r="G12" s="149"/>
      <c r="H12" s="149">
        <v>6.5000000000000002E-2</v>
      </c>
      <c r="I12" s="149">
        <v>6.5000000000000002E-2</v>
      </c>
      <c r="J12" s="149">
        <v>6.5000000000000002E-2</v>
      </c>
      <c r="K12" s="149">
        <v>6.5000000000000002E-2</v>
      </c>
      <c r="L12" s="149">
        <v>6.5000000000000002E-2</v>
      </c>
      <c r="M12" s="151"/>
      <c r="N12" s="183">
        <f t="shared" si="3"/>
        <v>6.5000000000000002E-2</v>
      </c>
      <c r="O12" s="183">
        <f t="shared" si="1"/>
        <v>0</v>
      </c>
      <c r="P12" s="183">
        <f t="shared" si="2"/>
        <v>6.5000000000000002E-2</v>
      </c>
      <c r="Q12" s="134" t="s">
        <v>205</v>
      </c>
      <c r="R12" s="119"/>
      <c r="S12" s="122"/>
    </row>
    <row r="13" spans="1:19">
      <c r="A13" s="348"/>
      <c r="B13" s="139" t="s">
        <v>155</v>
      </c>
      <c r="C13" s="155">
        <v>61000</v>
      </c>
      <c r="D13" s="139" t="s">
        <v>51</v>
      </c>
      <c r="E13" s="149">
        <v>4.2000000000000003E-2</v>
      </c>
      <c r="F13" s="149">
        <v>4.2000000000000003E-2</v>
      </c>
      <c r="G13" s="149">
        <v>4.2000000000000003E-2</v>
      </c>
      <c r="H13" s="149">
        <v>4.2000000000000003E-2</v>
      </c>
      <c r="I13" s="149">
        <v>4.2000000000000003E-2</v>
      </c>
      <c r="J13" s="149">
        <v>4.2000000000000003E-2</v>
      </c>
      <c r="K13" s="149">
        <v>4.2000000000000003E-2</v>
      </c>
      <c r="L13" s="149">
        <v>4.2000000000000003E-2</v>
      </c>
      <c r="M13" s="151"/>
      <c r="N13" s="183">
        <f t="shared" si="3"/>
        <v>4.1999999999999996E-2</v>
      </c>
      <c r="O13" s="183">
        <f t="shared" si="1"/>
        <v>4.2000000000000003E-2</v>
      </c>
      <c r="P13" s="183">
        <f t="shared" si="2"/>
        <v>4.2000000000000003E-2</v>
      </c>
      <c r="Q13" s="134" t="s">
        <v>205</v>
      </c>
      <c r="R13" s="119"/>
      <c r="S13" s="122"/>
    </row>
    <row r="14" spans="1:19">
      <c r="A14" s="348"/>
      <c r="B14" s="153" t="s">
        <v>156</v>
      </c>
      <c r="C14" s="166" t="s">
        <v>157</v>
      </c>
      <c r="D14" s="153" t="s">
        <v>51</v>
      </c>
      <c r="E14" s="149"/>
      <c r="F14" s="149"/>
      <c r="G14" s="149">
        <v>0.2</v>
      </c>
      <c r="H14" s="149"/>
      <c r="I14" s="149"/>
      <c r="J14" s="149"/>
      <c r="K14" s="149"/>
      <c r="L14" s="149"/>
      <c r="M14" s="151"/>
      <c r="N14" s="183">
        <f t="shared" si="3"/>
        <v>0.2</v>
      </c>
      <c r="O14" s="183">
        <f t="shared" si="1"/>
        <v>0.2</v>
      </c>
      <c r="P14" s="183">
        <f t="shared" si="2"/>
        <v>0</v>
      </c>
      <c r="Q14" s="134" t="s">
        <v>206</v>
      </c>
      <c r="R14" s="119"/>
      <c r="S14" s="122"/>
    </row>
    <row r="15" spans="1:19">
      <c r="A15" s="348"/>
      <c r="B15" s="153" t="s">
        <v>50</v>
      </c>
      <c r="C15" s="166" t="s">
        <v>158</v>
      </c>
      <c r="D15" s="153" t="s">
        <v>51</v>
      </c>
      <c r="E15" s="149"/>
      <c r="F15" s="149"/>
      <c r="G15" s="149"/>
      <c r="H15" s="149"/>
      <c r="I15" s="149"/>
      <c r="J15" s="149"/>
      <c r="K15" s="149">
        <v>0.4</v>
      </c>
      <c r="L15" s="149"/>
      <c r="M15" s="151"/>
      <c r="N15" s="183">
        <f t="shared" si="3"/>
        <v>0.4</v>
      </c>
      <c r="O15" s="183">
        <f t="shared" si="1"/>
        <v>0</v>
      </c>
      <c r="P15" s="183">
        <f t="shared" si="2"/>
        <v>0.4</v>
      </c>
      <c r="Q15" s="134" t="s">
        <v>206</v>
      </c>
      <c r="R15" s="119"/>
      <c r="S15" s="122"/>
    </row>
    <row r="16" spans="1:19">
      <c r="A16" s="349" t="s">
        <v>151</v>
      </c>
      <c r="B16" s="212" t="s">
        <v>222</v>
      </c>
      <c r="C16" s="166" t="s">
        <v>241</v>
      </c>
      <c r="D16" s="153" t="s">
        <v>51</v>
      </c>
      <c r="E16" s="149">
        <v>7.3999999999999996E-2</v>
      </c>
      <c r="F16" s="149">
        <v>7.3999999999999996E-2</v>
      </c>
      <c r="G16" s="149">
        <v>8.1033333333333332E-2</v>
      </c>
      <c r="H16" s="149">
        <v>8.8063636363636372E-2</v>
      </c>
      <c r="I16" s="149">
        <v>8.8063636363636372E-2</v>
      </c>
      <c r="J16" s="149">
        <v>8.8063636363636372E-2</v>
      </c>
      <c r="K16" s="151"/>
      <c r="L16" s="151"/>
      <c r="M16" s="151"/>
      <c r="N16" s="183">
        <f t="shared" si="3"/>
        <v>8.220404040404039E-2</v>
      </c>
      <c r="O16" s="183">
        <f t="shared" si="1"/>
        <v>7.6344444444444437E-2</v>
      </c>
      <c r="P16" s="183">
        <f t="shared" si="2"/>
        <v>8.8063636363636386E-2</v>
      </c>
      <c r="Q16" s="134"/>
      <c r="R16" s="119"/>
    </row>
    <row r="17" spans="1:18">
      <c r="A17" s="348"/>
      <c r="B17" s="212" t="s">
        <v>223</v>
      </c>
      <c r="C17" s="166" t="s">
        <v>242</v>
      </c>
      <c r="D17" s="153" t="s">
        <v>51</v>
      </c>
      <c r="E17" s="149">
        <v>9.4999999999999998E-3</v>
      </c>
      <c r="F17" s="149">
        <v>9.4999999999999998E-3</v>
      </c>
      <c r="G17" s="149">
        <v>9.4999999999999998E-3</v>
      </c>
      <c r="H17" s="149">
        <v>1.1300867244829885E-2</v>
      </c>
      <c r="I17" s="149">
        <v>1.1300867244829885E-2</v>
      </c>
      <c r="J17" s="149">
        <v>1.1300867244829885E-2</v>
      </c>
      <c r="K17" s="151"/>
      <c r="L17" s="151"/>
      <c r="M17" s="151"/>
      <c r="N17" s="183">
        <f t="shared" ref="N17:N33" si="4">IFERROR(AVERAGE(E17:M17),0)</f>
        <v>1.0400433622414941E-2</v>
      </c>
      <c r="O17" s="183">
        <f t="shared" ref="O17:O33" si="5">IFERROR(AVERAGE(E17:G17),0)</f>
        <v>9.4999999999999998E-3</v>
      </c>
      <c r="P17" s="183">
        <f t="shared" ref="P17:P33" si="6">IFERROR(AVERAGE(H17:M17),0)</f>
        <v>1.1300867244829885E-2</v>
      </c>
      <c r="Q17" s="134"/>
      <c r="R17" s="119"/>
    </row>
    <row r="18" spans="1:18">
      <c r="A18" s="348"/>
      <c r="B18" s="212" t="s">
        <v>224</v>
      </c>
      <c r="C18" s="166" t="s">
        <v>243</v>
      </c>
      <c r="D18" s="153" t="s">
        <v>51</v>
      </c>
      <c r="E18" s="149">
        <v>0.04</v>
      </c>
      <c r="F18" s="149">
        <v>0.04</v>
      </c>
      <c r="G18" s="149">
        <v>4.1367999999999995E-2</v>
      </c>
      <c r="H18" s="149">
        <v>4.7600000000000003E-2</v>
      </c>
      <c r="I18" s="149">
        <v>4.7600000000000003E-2</v>
      </c>
      <c r="J18" s="149">
        <v>4.7600000000000003E-2</v>
      </c>
      <c r="K18" s="151"/>
      <c r="L18" s="151"/>
      <c r="M18" s="151"/>
      <c r="N18" s="183">
        <f t="shared" si="4"/>
        <v>4.4028000000000005E-2</v>
      </c>
      <c r="O18" s="183">
        <f t="shared" si="5"/>
        <v>4.0455999999999999E-2</v>
      </c>
      <c r="P18" s="183">
        <f t="shared" si="6"/>
        <v>4.7600000000000003E-2</v>
      </c>
      <c r="Q18" s="134"/>
      <c r="R18" s="119"/>
    </row>
    <row r="19" spans="1:18">
      <c r="A19" s="348"/>
      <c r="B19" s="212" t="s">
        <v>225</v>
      </c>
      <c r="C19" s="166" t="s">
        <v>244</v>
      </c>
      <c r="D19" s="153" t="s">
        <v>51</v>
      </c>
      <c r="E19" s="149">
        <v>5.5E-2</v>
      </c>
      <c r="F19" s="149">
        <v>5.5E-2</v>
      </c>
      <c r="G19" s="149">
        <v>6.1677777777777776E-2</v>
      </c>
      <c r="H19" s="149">
        <v>6.5466666666666673E-2</v>
      </c>
      <c r="I19" s="149">
        <v>6.5466666666666673E-2</v>
      </c>
      <c r="J19" s="149">
        <v>6.5466666666666673E-2</v>
      </c>
      <c r="K19" s="151"/>
      <c r="L19" s="151"/>
      <c r="M19" s="151"/>
      <c r="N19" s="183">
        <f t="shared" si="4"/>
        <v>6.1346296296296295E-2</v>
      </c>
      <c r="O19" s="183">
        <f t="shared" si="5"/>
        <v>5.7225925925925923E-2</v>
      </c>
      <c r="P19" s="183">
        <f t="shared" si="6"/>
        <v>6.5466666666666673E-2</v>
      </c>
      <c r="Q19" s="134"/>
      <c r="R19" s="119"/>
    </row>
    <row r="20" spans="1:18">
      <c r="A20" s="348"/>
      <c r="B20" s="212" t="s">
        <v>226</v>
      </c>
      <c r="C20" s="166" t="s">
        <v>245</v>
      </c>
      <c r="D20" s="153" t="s">
        <v>51</v>
      </c>
      <c r="E20" s="149" t="s">
        <v>221</v>
      </c>
      <c r="F20" s="149" t="s">
        <v>221</v>
      </c>
      <c r="G20" s="149">
        <v>7.0000000000000007E-2</v>
      </c>
      <c r="H20" s="149" t="s">
        <v>221</v>
      </c>
      <c r="I20" s="149" t="s">
        <v>221</v>
      </c>
      <c r="J20" s="149" t="s">
        <v>221</v>
      </c>
      <c r="K20" s="151"/>
      <c r="L20" s="151"/>
      <c r="M20" s="151"/>
      <c r="N20" s="183">
        <f t="shared" si="4"/>
        <v>7.0000000000000007E-2</v>
      </c>
      <c r="O20" s="183">
        <f t="shared" si="5"/>
        <v>7.0000000000000007E-2</v>
      </c>
      <c r="P20" s="183">
        <f t="shared" si="6"/>
        <v>0</v>
      </c>
      <c r="Q20" s="134"/>
      <c r="R20" s="119"/>
    </row>
    <row r="21" spans="1:18">
      <c r="A21" s="348"/>
      <c r="B21" s="212" t="s">
        <v>227</v>
      </c>
      <c r="C21" s="166" t="s">
        <v>246</v>
      </c>
      <c r="D21" s="153" t="s">
        <v>51</v>
      </c>
      <c r="E21" s="149">
        <v>4.1999999999999996E-2</v>
      </c>
      <c r="F21" s="149">
        <v>4.1999999999999996E-2</v>
      </c>
      <c r="G21" s="149">
        <v>4.6551282051282054E-2</v>
      </c>
      <c r="H21" s="149">
        <v>4.9977777777777781E-2</v>
      </c>
      <c r="I21" s="149">
        <v>4.9977777777777781E-2</v>
      </c>
      <c r="J21" s="149">
        <v>4.9977777777777781E-2</v>
      </c>
      <c r="K21" s="151"/>
      <c r="L21" s="151"/>
      <c r="M21" s="151"/>
      <c r="N21" s="183">
        <f t="shared" si="4"/>
        <v>4.67474358974359E-2</v>
      </c>
      <c r="O21" s="183">
        <f t="shared" si="5"/>
        <v>4.351709401709402E-2</v>
      </c>
      <c r="P21" s="183">
        <f t="shared" si="6"/>
        <v>4.9977777777777781E-2</v>
      </c>
      <c r="Q21" s="134"/>
      <c r="R21" s="119"/>
    </row>
    <row r="22" spans="1:18">
      <c r="A22" s="348"/>
      <c r="B22" s="212" t="s">
        <v>228</v>
      </c>
      <c r="C22" s="166" t="s">
        <v>247</v>
      </c>
      <c r="D22" s="153" t="s">
        <v>51</v>
      </c>
      <c r="E22" s="149">
        <v>4.2000000000000003E-2</v>
      </c>
      <c r="F22" s="149">
        <v>4.2000000000000003E-2</v>
      </c>
      <c r="G22" s="149">
        <v>4.5339534883720931E-2</v>
      </c>
      <c r="H22" s="149">
        <v>4.9981818181818176E-2</v>
      </c>
      <c r="I22" s="149">
        <v>4.9981818181818176E-2</v>
      </c>
      <c r="J22" s="149">
        <v>4.9981818181818176E-2</v>
      </c>
      <c r="K22" s="151"/>
      <c r="L22" s="151"/>
      <c r="M22" s="151"/>
      <c r="N22" s="183">
        <f t="shared" si="4"/>
        <v>4.6547498238195907E-2</v>
      </c>
      <c r="O22" s="183">
        <f t="shared" si="5"/>
        <v>4.3113178294573645E-2</v>
      </c>
      <c r="P22" s="183">
        <f t="shared" si="6"/>
        <v>4.9981818181818176E-2</v>
      </c>
      <c r="Q22" s="134"/>
      <c r="R22" s="119"/>
    </row>
    <row r="23" spans="1:18">
      <c r="A23" s="348"/>
      <c r="B23" s="212" t="s">
        <v>229</v>
      </c>
      <c r="C23" s="166" t="s">
        <v>248</v>
      </c>
      <c r="D23" s="153" t="s">
        <v>51</v>
      </c>
      <c r="E23" s="149" t="s">
        <v>221</v>
      </c>
      <c r="F23" s="149" t="s">
        <v>221</v>
      </c>
      <c r="G23" s="149">
        <v>0.08</v>
      </c>
      <c r="H23" s="149" t="s">
        <v>221</v>
      </c>
      <c r="I23" s="149" t="s">
        <v>221</v>
      </c>
      <c r="J23" s="149" t="s">
        <v>221</v>
      </c>
      <c r="K23" s="151"/>
      <c r="L23" s="151"/>
      <c r="M23" s="151"/>
      <c r="N23" s="183">
        <f t="shared" si="4"/>
        <v>0.08</v>
      </c>
      <c r="O23" s="183">
        <f t="shared" si="5"/>
        <v>0.08</v>
      </c>
      <c r="P23" s="183">
        <f t="shared" si="6"/>
        <v>0</v>
      </c>
      <c r="Q23" s="134"/>
      <c r="R23" s="119"/>
    </row>
    <row r="24" spans="1:18">
      <c r="A24" s="348"/>
      <c r="B24" s="212" t="s">
        <v>230</v>
      </c>
      <c r="C24" s="166" t="s">
        <v>249</v>
      </c>
      <c r="D24" s="153" t="s">
        <v>51</v>
      </c>
      <c r="E24" s="149" t="s">
        <v>221</v>
      </c>
      <c r="F24" s="149" t="s">
        <v>221</v>
      </c>
      <c r="G24" s="149">
        <v>0.32409999999999994</v>
      </c>
      <c r="H24" s="149">
        <v>0.38569999999999999</v>
      </c>
      <c r="I24" s="149">
        <v>0.38569999999999999</v>
      </c>
      <c r="J24" s="149">
        <v>0.38569999999999999</v>
      </c>
      <c r="K24" s="151"/>
      <c r="L24" s="151"/>
      <c r="M24" s="151"/>
      <c r="N24" s="183">
        <f t="shared" si="4"/>
        <v>0.37029999999999996</v>
      </c>
      <c r="O24" s="183">
        <f t="shared" si="5"/>
        <v>0.32409999999999994</v>
      </c>
      <c r="P24" s="183">
        <f t="shared" si="6"/>
        <v>0.38569999999999999</v>
      </c>
      <c r="Q24" s="134"/>
      <c r="R24" s="119"/>
    </row>
    <row r="25" spans="1:18">
      <c r="A25" s="348"/>
      <c r="B25" s="212" t="s">
        <v>231</v>
      </c>
      <c r="C25" s="166" t="s">
        <v>250</v>
      </c>
      <c r="D25" s="153" t="s">
        <v>51</v>
      </c>
      <c r="E25" s="149">
        <v>3.0300000000000001E-2</v>
      </c>
      <c r="F25" s="149">
        <v>3.0300000000000001E-2</v>
      </c>
      <c r="G25" s="149">
        <v>3.0300000000000001E-2</v>
      </c>
      <c r="H25" s="149">
        <v>3.6058333333333338E-2</v>
      </c>
      <c r="I25" s="149">
        <v>3.6058333333333338E-2</v>
      </c>
      <c r="J25" s="149">
        <v>3.6058333333333338E-2</v>
      </c>
      <c r="K25" s="151"/>
      <c r="L25" s="151"/>
      <c r="M25" s="151"/>
      <c r="N25" s="183">
        <f t="shared" si="4"/>
        <v>3.3179166666666669E-2</v>
      </c>
      <c r="O25" s="183">
        <f t="shared" si="5"/>
        <v>3.0300000000000004E-2</v>
      </c>
      <c r="P25" s="183">
        <f t="shared" si="6"/>
        <v>3.6058333333333338E-2</v>
      </c>
      <c r="Q25" s="134"/>
      <c r="R25" s="119"/>
    </row>
    <row r="26" spans="1:18">
      <c r="A26" s="348"/>
      <c r="B26" s="212" t="s">
        <v>232</v>
      </c>
      <c r="C26" s="166" t="s">
        <v>251</v>
      </c>
      <c r="D26" s="153" t="s">
        <v>51</v>
      </c>
      <c r="E26" s="149" t="s">
        <v>221</v>
      </c>
      <c r="F26" s="149" t="s">
        <v>221</v>
      </c>
      <c r="G26" s="149">
        <v>7.0000000000000007E-2</v>
      </c>
      <c r="H26" s="149">
        <v>8.3299999999999999E-2</v>
      </c>
      <c r="I26" s="149">
        <v>8.3299999999999999E-2</v>
      </c>
      <c r="J26" s="149">
        <v>8.3299999999999999E-2</v>
      </c>
      <c r="K26" s="151"/>
      <c r="L26" s="151"/>
      <c r="M26" s="151"/>
      <c r="N26" s="183">
        <f t="shared" si="4"/>
        <v>7.9974999999999991E-2</v>
      </c>
      <c r="O26" s="183">
        <f t="shared" si="5"/>
        <v>7.0000000000000007E-2</v>
      </c>
      <c r="P26" s="183">
        <f t="shared" si="6"/>
        <v>8.3299999999999999E-2</v>
      </c>
      <c r="Q26" s="134"/>
      <c r="R26" s="119"/>
    </row>
    <row r="27" spans="1:18">
      <c r="A27" s="348"/>
      <c r="B27" s="212" t="s">
        <v>233</v>
      </c>
      <c r="C27" s="166" t="s">
        <v>252</v>
      </c>
      <c r="D27" s="153" t="s">
        <v>51</v>
      </c>
      <c r="E27" s="149">
        <v>0.127</v>
      </c>
      <c r="F27" s="149">
        <v>0.127</v>
      </c>
      <c r="G27" s="149">
        <v>0.1388688524590164</v>
      </c>
      <c r="H27" s="149">
        <v>0.15113541666666666</v>
      </c>
      <c r="I27" s="149">
        <v>0.15113541666666666</v>
      </c>
      <c r="J27" s="149">
        <v>0.15113541666666666</v>
      </c>
      <c r="K27" s="151"/>
      <c r="L27" s="151"/>
      <c r="M27" s="151"/>
      <c r="N27" s="183">
        <f t="shared" si="4"/>
        <v>0.14104585040983605</v>
      </c>
      <c r="O27" s="183">
        <f t="shared" si="5"/>
        <v>0.13095628415300545</v>
      </c>
      <c r="P27" s="183">
        <f t="shared" si="6"/>
        <v>0.15113541666666666</v>
      </c>
      <c r="Q27" s="134"/>
      <c r="R27" s="119"/>
    </row>
    <row r="28" spans="1:18">
      <c r="A28" s="348"/>
      <c r="B28" s="212" t="s">
        <v>234</v>
      </c>
      <c r="C28" s="166" t="s">
        <v>253</v>
      </c>
      <c r="D28" s="153" t="s">
        <v>51</v>
      </c>
      <c r="E28" s="149">
        <v>5.8000000000000003E-2</v>
      </c>
      <c r="F28" s="149">
        <v>5.8000000000000003E-2</v>
      </c>
      <c r="G28" s="149">
        <v>6.0248163265306118E-2</v>
      </c>
      <c r="H28" s="149">
        <v>6.545454545454546E-2</v>
      </c>
      <c r="I28" s="149">
        <v>6.545454545454546E-2</v>
      </c>
      <c r="J28" s="149">
        <v>6.545454545454546E-2</v>
      </c>
      <c r="K28" s="151"/>
      <c r="L28" s="151"/>
      <c r="M28" s="151"/>
      <c r="N28" s="183">
        <f t="shared" si="4"/>
        <v>6.2101966604823755E-2</v>
      </c>
      <c r="O28" s="183">
        <f t="shared" si="5"/>
        <v>5.8749387755102044E-2</v>
      </c>
      <c r="P28" s="183">
        <f t="shared" si="6"/>
        <v>6.545454545454546E-2</v>
      </c>
      <c r="Q28" s="134"/>
      <c r="R28" s="119"/>
    </row>
    <row r="29" spans="1:18">
      <c r="A29" s="348"/>
      <c r="B29" s="212" t="s">
        <v>235</v>
      </c>
      <c r="C29" s="166" t="s">
        <v>254</v>
      </c>
      <c r="D29" s="153" t="s">
        <v>51</v>
      </c>
      <c r="E29" s="149">
        <v>5.1000000000000004E-2</v>
      </c>
      <c r="F29" s="149">
        <v>5.1000000000000004E-2</v>
      </c>
      <c r="G29" s="149">
        <v>5.5995594713656394E-2</v>
      </c>
      <c r="H29" s="149">
        <v>6.0690999999999995E-2</v>
      </c>
      <c r="I29" s="149">
        <v>6.0690999999999995E-2</v>
      </c>
      <c r="J29" s="149">
        <v>6.0690999999999995E-2</v>
      </c>
      <c r="K29" s="151"/>
      <c r="L29" s="151"/>
      <c r="M29" s="151"/>
      <c r="N29" s="183">
        <f t="shared" si="4"/>
        <v>5.6678099118942733E-2</v>
      </c>
      <c r="O29" s="183">
        <f t="shared" si="5"/>
        <v>5.2665198237885465E-2</v>
      </c>
      <c r="P29" s="183">
        <f t="shared" si="6"/>
        <v>6.0690999999999995E-2</v>
      </c>
      <c r="Q29" s="134"/>
      <c r="R29" s="119"/>
    </row>
    <row r="30" spans="1:18">
      <c r="A30" s="348"/>
      <c r="B30" s="212" t="s">
        <v>236</v>
      </c>
      <c r="C30" s="166" t="s">
        <v>255</v>
      </c>
      <c r="D30" s="153" t="s">
        <v>51</v>
      </c>
      <c r="E30" s="149">
        <v>0.13199999999999998</v>
      </c>
      <c r="F30" s="149">
        <v>0.13199999999999998</v>
      </c>
      <c r="G30" s="149">
        <v>0.12105172413793103</v>
      </c>
      <c r="H30" s="149" t="s">
        <v>221</v>
      </c>
      <c r="I30" s="149" t="s">
        <v>221</v>
      </c>
      <c r="J30" s="149" t="s">
        <v>221</v>
      </c>
      <c r="K30" s="151"/>
      <c r="L30" s="151"/>
      <c r="M30" s="151"/>
      <c r="N30" s="183">
        <f t="shared" si="4"/>
        <v>0.12835057471264366</v>
      </c>
      <c r="O30" s="183">
        <f t="shared" si="5"/>
        <v>0.12835057471264366</v>
      </c>
      <c r="P30" s="183">
        <f t="shared" si="6"/>
        <v>0</v>
      </c>
      <c r="Q30" s="134"/>
      <c r="R30" s="119"/>
    </row>
    <row r="31" spans="1:18">
      <c r="A31" s="348"/>
      <c r="B31" s="212" t="s">
        <v>237</v>
      </c>
      <c r="C31" s="166" t="s">
        <v>256</v>
      </c>
      <c r="D31" s="153" t="s">
        <v>51</v>
      </c>
      <c r="E31" s="149" t="s">
        <v>221</v>
      </c>
      <c r="F31" s="149" t="s">
        <v>221</v>
      </c>
      <c r="G31" s="149">
        <v>6.7829022988505752E-2</v>
      </c>
      <c r="H31" s="149" t="s">
        <v>221</v>
      </c>
      <c r="I31" s="149" t="s">
        <v>221</v>
      </c>
      <c r="J31" s="149" t="s">
        <v>221</v>
      </c>
      <c r="K31" s="151"/>
      <c r="L31" s="151"/>
      <c r="M31" s="151"/>
      <c r="N31" s="183">
        <f t="shared" si="4"/>
        <v>6.7829022988505752E-2</v>
      </c>
      <c r="O31" s="183">
        <f t="shared" si="5"/>
        <v>6.7829022988505752E-2</v>
      </c>
      <c r="P31" s="183">
        <f t="shared" si="6"/>
        <v>0</v>
      </c>
      <c r="Q31" s="134"/>
      <c r="R31" s="119"/>
    </row>
    <row r="32" spans="1:18">
      <c r="A32" s="348"/>
      <c r="B32" s="212" t="s">
        <v>238</v>
      </c>
      <c r="C32" s="166" t="s">
        <v>257</v>
      </c>
      <c r="D32" s="153" t="s">
        <v>51</v>
      </c>
      <c r="E32" s="149">
        <v>0.151</v>
      </c>
      <c r="F32" s="149">
        <v>0.151</v>
      </c>
      <c r="G32" s="149">
        <v>0.15548125000000002</v>
      </c>
      <c r="H32" s="149" t="s">
        <v>221</v>
      </c>
      <c r="I32" s="149" t="s">
        <v>221</v>
      </c>
      <c r="J32" s="149" t="s">
        <v>221</v>
      </c>
      <c r="K32" s="151"/>
      <c r="L32" s="151"/>
      <c r="M32" s="151"/>
      <c r="N32" s="183">
        <f t="shared" si="4"/>
        <v>0.15249375000000001</v>
      </c>
      <c r="O32" s="183">
        <f t="shared" si="5"/>
        <v>0.15249375000000001</v>
      </c>
      <c r="P32" s="183">
        <f t="shared" si="6"/>
        <v>0</v>
      </c>
      <c r="Q32" s="134"/>
      <c r="R32" s="119"/>
    </row>
    <row r="33" spans="1:19">
      <c r="A33" s="348"/>
      <c r="B33" s="212" t="s">
        <v>239</v>
      </c>
      <c r="C33" s="166" t="s">
        <v>258</v>
      </c>
      <c r="D33" s="153" t="s">
        <v>51</v>
      </c>
      <c r="E33" s="149" t="s">
        <v>221</v>
      </c>
      <c r="F33" s="149" t="s">
        <v>221</v>
      </c>
      <c r="G33" s="149"/>
      <c r="H33" s="149">
        <v>0.12495238095238094</v>
      </c>
      <c r="I33" s="149">
        <v>0.12495238095238094</v>
      </c>
      <c r="J33" s="149">
        <v>0.12495238095238094</v>
      </c>
      <c r="K33" s="151"/>
      <c r="L33" s="151"/>
      <c r="M33" s="151"/>
      <c r="N33" s="183">
        <f t="shared" si="4"/>
        <v>0.12495238095238094</v>
      </c>
      <c r="O33" s="183">
        <f t="shared" si="5"/>
        <v>0</v>
      </c>
      <c r="P33" s="183">
        <f t="shared" si="6"/>
        <v>0.12495238095238094</v>
      </c>
      <c r="Q33" s="134"/>
      <c r="R33" s="119"/>
    </row>
    <row r="34" spans="1:19">
      <c r="A34" s="351"/>
      <c r="B34" s="212" t="s">
        <v>240</v>
      </c>
      <c r="C34" s="166" t="s">
        <v>259</v>
      </c>
      <c r="D34" s="153" t="s">
        <v>51</v>
      </c>
      <c r="E34" s="149">
        <v>0.11020000000000001</v>
      </c>
      <c r="F34" s="149">
        <v>0.11020000000000001</v>
      </c>
      <c r="G34" s="149"/>
      <c r="H34" s="207"/>
      <c r="I34" s="207"/>
      <c r="J34" s="207"/>
      <c r="K34" s="151"/>
      <c r="L34" s="151"/>
      <c r="M34" s="151"/>
      <c r="N34" s="183">
        <f t="shared" ref="N34" si="7">IFERROR(AVERAGE(E34:M34),0)</f>
        <v>0.11020000000000001</v>
      </c>
      <c r="O34" s="183">
        <f t="shared" ref="O34" si="8">IFERROR(AVERAGE(E34:G34),0)</f>
        <v>0.11020000000000001</v>
      </c>
      <c r="P34" s="183">
        <f t="shared" ref="P34" si="9">IFERROR(AVERAGE(H34:M34),0)</f>
        <v>0</v>
      </c>
      <c r="Q34" s="134"/>
      <c r="R34" s="119"/>
    </row>
    <row r="35" spans="1:19">
      <c r="A35" s="213" t="s">
        <v>152</v>
      </c>
      <c r="B35" s="153"/>
      <c r="C35" s="153"/>
      <c r="D35" s="153"/>
      <c r="E35" s="151"/>
      <c r="F35" s="151"/>
      <c r="G35" s="151"/>
      <c r="H35" s="151"/>
      <c r="I35" s="151"/>
      <c r="J35" s="151"/>
      <c r="K35" s="151"/>
      <c r="L35" s="151"/>
      <c r="M35" s="151"/>
      <c r="N35" s="183">
        <f t="shared" si="3"/>
        <v>0</v>
      </c>
      <c r="O35" s="183">
        <f t="shared" si="1"/>
        <v>0</v>
      </c>
      <c r="P35" s="183">
        <f t="shared" si="2"/>
        <v>0</v>
      </c>
      <c r="Q35" s="134"/>
      <c r="R35" s="119"/>
    </row>
    <row r="36" spans="1:19">
      <c r="A36" s="139" t="s">
        <v>153</v>
      </c>
      <c r="B36" s="146"/>
      <c r="C36" s="146"/>
      <c r="D36" s="146"/>
      <c r="E36" s="172"/>
      <c r="F36" s="172"/>
      <c r="G36" s="172"/>
      <c r="H36" s="172"/>
      <c r="I36" s="172"/>
      <c r="J36" s="172"/>
      <c r="K36" s="172"/>
      <c r="L36" s="172"/>
      <c r="M36" s="172"/>
      <c r="N36" s="183">
        <f t="shared" si="3"/>
        <v>0</v>
      </c>
      <c r="O36" s="183">
        <f t="shared" si="1"/>
        <v>0</v>
      </c>
      <c r="P36" s="183">
        <f t="shared" si="2"/>
        <v>0</v>
      </c>
      <c r="Q36" s="134"/>
      <c r="R36" s="119"/>
    </row>
    <row r="37" spans="1:19">
      <c r="A37" s="139" t="s">
        <v>154</v>
      </c>
      <c r="B37" s="154"/>
      <c r="C37" s="153"/>
      <c r="D37" s="153"/>
      <c r="E37" s="173"/>
      <c r="F37" s="173"/>
      <c r="G37" s="173"/>
      <c r="H37" s="151"/>
      <c r="I37" s="151"/>
      <c r="J37" s="151"/>
      <c r="K37" s="151"/>
      <c r="L37" s="151"/>
      <c r="M37" s="151"/>
      <c r="N37" s="183">
        <f>IFERROR(AVERAGE(E37:M37),0)</f>
        <v>0</v>
      </c>
      <c r="O37" s="183">
        <f>IFERROR(AVERAGE(E37:G37),0)</f>
        <v>0</v>
      </c>
      <c r="P37" s="183">
        <f>IFERROR(AVERAGE(H37:M37),0)</f>
        <v>0</v>
      </c>
      <c r="Q37" s="134"/>
      <c r="R37" s="119"/>
      <c r="S37" s="123"/>
    </row>
    <row r="38" spans="1:19">
      <c r="A38" s="124"/>
      <c r="B38" s="125"/>
      <c r="C38" s="125"/>
      <c r="D38" s="125"/>
      <c r="E38" s="130"/>
      <c r="F38" s="130"/>
      <c r="G38" s="130"/>
      <c r="H38" s="130"/>
      <c r="I38" s="130"/>
      <c r="J38" s="130"/>
      <c r="K38" s="130"/>
      <c r="L38" s="127"/>
      <c r="M38" s="127"/>
      <c r="N38" s="127"/>
      <c r="O38" s="127"/>
      <c r="P38" s="127"/>
      <c r="Q38" s="126"/>
      <c r="R38" s="119"/>
    </row>
    <row r="39" spans="1:19" ht="52">
      <c r="A39" s="181" t="s">
        <v>54</v>
      </c>
      <c r="B39" s="132" t="s">
        <v>46</v>
      </c>
      <c r="C39" s="121" t="s">
        <v>47</v>
      </c>
      <c r="D39" s="132" t="s">
        <v>48</v>
      </c>
      <c r="E39" s="121" t="s">
        <v>95</v>
      </c>
      <c r="F39" s="121" t="s">
        <v>96</v>
      </c>
      <c r="G39" s="121" t="s">
        <v>97</v>
      </c>
      <c r="H39" s="121" t="s">
        <v>98</v>
      </c>
      <c r="I39" s="133" t="s">
        <v>99</v>
      </c>
      <c r="J39" s="121" t="s">
        <v>100</v>
      </c>
      <c r="K39" s="121" t="s">
        <v>101</v>
      </c>
      <c r="L39" s="121" t="s">
        <v>102</v>
      </c>
      <c r="M39" s="121" t="s">
        <v>103</v>
      </c>
      <c r="N39" s="121" t="s">
        <v>192</v>
      </c>
      <c r="O39" s="121" t="s">
        <v>210</v>
      </c>
      <c r="P39" s="121" t="s">
        <v>211</v>
      </c>
      <c r="Q39" s="121" t="s">
        <v>93</v>
      </c>
      <c r="R39" s="119"/>
    </row>
    <row r="40" spans="1:19">
      <c r="A40" s="147" t="str">
        <f>"Mittelwert "&amp;A39</f>
        <v>Mittelwert FFP2 ohne Ventil</v>
      </c>
      <c r="B40" s="178"/>
      <c r="C40" s="179"/>
      <c r="D40" s="179"/>
      <c r="E40" s="180">
        <f t="shared" ref="E40:M40" si="10">IF(IFERROR(AVERAGE(E41:E56),0)=0,"",IFERROR(AVERAGE(E41:E56),0))</f>
        <v>1.1375833333333334</v>
      </c>
      <c r="F40" s="180">
        <f t="shared" si="10"/>
        <v>1.1375833333333334</v>
      </c>
      <c r="G40" s="180">
        <f t="shared" si="10"/>
        <v>1.2704818091168091</v>
      </c>
      <c r="H40" s="180">
        <f t="shared" si="10"/>
        <v>2.5464375000000001</v>
      </c>
      <c r="I40" s="180">
        <f t="shared" si="10"/>
        <v>2.5377500000000004</v>
      </c>
      <c r="J40" s="180">
        <f t="shared" si="10"/>
        <v>2.9666875000000004</v>
      </c>
      <c r="K40" s="180">
        <f t="shared" si="10"/>
        <v>2.2725</v>
      </c>
      <c r="L40" s="180">
        <f t="shared" si="10"/>
        <v>1.6</v>
      </c>
      <c r="M40" s="180" t="str">
        <f t="shared" si="10"/>
        <v/>
      </c>
      <c r="N40" s="180">
        <f>IFERROR(AVERAGE(E40:M40),0)</f>
        <v>1.9336279344729348</v>
      </c>
      <c r="O40" s="180">
        <f>IFERROR(AVERAGE(E40:G40),0)</f>
        <v>1.1818828252611586</v>
      </c>
      <c r="P40" s="180">
        <f>IFERROR(AVERAGE(H40:M40),0)</f>
        <v>2.3846750000000005</v>
      </c>
      <c r="Q40" s="134"/>
      <c r="R40" s="119"/>
      <c r="S40" s="123"/>
    </row>
    <row r="41" spans="1:19">
      <c r="A41" s="348" t="s">
        <v>148</v>
      </c>
      <c r="B41" s="167" t="s">
        <v>52</v>
      </c>
      <c r="C41" s="168" t="s">
        <v>55</v>
      </c>
      <c r="D41" s="167" t="s">
        <v>51</v>
      </c>
      <c r="E41" s="149">
        <v>1.65</v>
      </c>
      <c r="F41" s="149">
        <v>1.65</v>
      </c>
      <c r="G41" s="149">
        <v>1.65</v>
      </c>
      <c r="H41" s="149">
        <v>1.65</v>
      </c>
      <c r="I41" s="149">
        <v>1.65</v>
      </c>
      <c r="J41" s="149">
        <v>1.65</v>
      </c>
      <c r="K41" s="149">
        <v>1.65</v>
      </c>
      <c r="L41" s="136"/>
      <c r="M41" s="136"/>
      <c r="N41" s="183">
        <f t="shared" ref="N41:N56" si="11">IFERROR(AVERAGE(E41:M41),0)</f>
        <v>1.6500000000000001</v>
      </c>
      <c r="O41" s="183">
        <f>IFERROR(AVERAGE(E41:G41),0)</f>
        <v>1.6499999999999997</v>
      </c>
      <c r="P41" s="183">
        <f>IFERROR(AVERAGE(H41:M41),0)</f>
        <v>1.65</v>
      </c>
      <c r="Q41" s="134" t="s">
        <v>193</v>
      </c>
      <c r="R41" s="119"/>
    </row>
    <row r="42" spans="1:19">
      <c r="A42" s="348"/>
      <c r="B42" s="167" t="s">
        <v>56</v>
      </c>
      <c r="C42" s="168">
        <v>34100</v>
      </c>
      <c r="D42" s="167" t="s">
        <v>51</v>
      </c>
      <c r="E42" s="149">
        <v>0.57999999999999996</v>
      </c>
      <c r="F42" s="149">
        <v>0.57999999999999996</v>
      </c>
      <c r="G42" s="149">
        <v>0.57999999999999996</v>
      </c>
      <c r="H42" s="149">
        <v>0.57999999999999996</v>
      </c>
      <c r="I42" s="149">
        <v>2.99</v>
      </c>
      <c r="J42" s="149">
        <v>2.99</v>
      </c>
      <c r="K42" s="149">
        <v>2.99</v>
      </c>
      <c r="L42" s="136"/>
      <c r="M42" s="136"/>
      <c r="N42" s="183">
        <f>IFERROR(AVERAGE(E42:M42),0)</f>
        <v>1.612857142857143</v>
      </c>
      <c r="O42" s="183">
        <f t="shared" ref="O42:O56" si="12">IFERROR(AVERAGE(E42:G42),0)</f>
        <v>0.57999999999999996</v>
      </c>
      <c r="P42" s="183">
        <f t="shared" ref="P42:P56" si="13">IFERROR(AVERAGE(H42:M42),0)</f>
        <v>2.3875000000000002</v>
      </c>
      <c r="Q42" s="134" t="s">
        <v>193</v>
      </c>
      <c r="R42" s="119"/>
    </row>
    <row r="43" spans="1:19" ht="36.5">
      <c r="A43" s="351"/>
      <c r="B43" s="142" t="s">
        <v>131</v>
      </c>
      <c r="C43" s="169"/>
      <c r="D43" s="140"/>
      <c r="E43" s="176"/>
      <c r="F43" s="176"/>
      <c r="G43" s="176"/>
      <c r="H43" s="149">
        <v>4</v>
      </c>
      <c r="I43" s="149">
        <v>2.4</v>
      </c>
      <c r="J43" s="149">
        <v>2.44</v>
      </c>
      <c r="K43" s="149">
        <v>2.85</v>
      </c>
      <c r="L43" s="136"/>
      <c r="M43" s="136"/>
      <c r="N43" s="183">
        <f t="shared" si="11"/>
        <v>2.9224999999999999</v>
      </c>
      <c r="O43" s="183">
        <f t="shared" si="12"/>
        <v>0</v>
      </c>
      <c r="P43" s="183">
        <f t="shared" si="13"/>
        <v>2.9224999999999999</v>
      </c>
      <c r="Q43" s="134"/>
      <c r="R43" s="119"/>
    </row>
    <row r="44" spans="1:19">
      <c r="A44" s="349" t="s">
        <v>149</v>
      </c>
      <c r="B44" s="140" t="s">
        <v>132</v>
      </c>
      <c r="C44" s="169">
        <v>2506</v>
      </c>
      <c r="D44" s="140" t="s">
        <v>51</v>
      </c>
      <c r="E44" s="149">
        <v>1.1305000000000001</v>
      </c>
      <c r="F44" s="149">
        <v>1.1305000000000001</v>
      </c>
      <c r="G44" s="149">
        <v>1.7255</v>
      </c>
      <c r="H44" s="149"/>
      <c r="I44" s="149">
        <v>2.3205</v>
      </c>
      <c r="J44" s="149"/>
      <c r="K44" s="136"/>
      <c r="L44" s="136"/>
      <c r="M44" s="136"/>
      <c r="N44" s="183">
        <f t="shared" si="11"/>
        <v>1.5767500000000001</v>
      </c>
      <c r="O44" s="183">
        <f t="shared" si="12"/>
        <v>1.3288333333333335</v>
      </c>
      <c r="P44" s="183">
        <f t="shared" si="13"/>
        <v>2.3205</v>
      </c>
      <c r="Q44" s="134"/>
      <c r="R44" s="119"/>
    </row>
    <row r="45" spans="1:19">
      <c r="A45" s="351"/>
      <c r="B45" s="140" t="s">
        <v>134</v>
      </c>
      <c r="C45" s="169"/>
      <c r="D45" s="140" t="s">
        <v>51</v>
      </c>
      <c r="E45" s="149"/>
      <c r="F45" s="149"/>
      <c r="G45" s="149"/>
      <c r="H45" s="149"/>
      <c r="I45" s="149"/>
      <c r="J45" s="149">
        <v>5.7119999999999997</v>
      </c>
      <c r="K45" s="136"/>
      <c r="L45" s="136"/>
      <c r="M45" s="136"/>
      <c r="N45" s="183">
        <f t="shared" si="11"/>
        <v>5.7119999999999997</v>
      </c>
      <c r="O45" s="183">
        <f t="shared" si="12"/>
        <v>0</v>
      </c>
      <c r="P45" s="183">
        <f t="shared" si="13"/>
        <v>5.7119999999999997</v>
      </c>
      <c r="Q45" s="134"/>
      <c r="R45" s="119"/>
    </row>
    <row r="46" spans="1:19">
      <c r="A46" s="349" t="s">
        <v>150</v>
      </c>
      <c r="B46" s="167" t="s">
        <v>156</v>
      </c>
      <c r="C46" s="168" t="s">
        <v>159</v>
      </c>
      <c r="D46" s="167" t="s">
        <v>51</v>
      </c>
      <c r="E46" s="170"/>
      <c r="F46" s="170"/>
      <c r="G46" s="170"/>
      <c r="H46" s="170"/>
      <c r="I46" s="170"/>
      <c r="J46" s="170"/>
      <c r="K46" s="170"/>
      <c r="L46" s="170"/>
      <c r="M46" s="136"/>
      <c r="N46" s="183">
        <f t="shared" si="11"/>
        <v>0</v>
      </c>
      <c r="O46" s="183">
        <f t="shared" si="12"/>
        <v>0</v>
      </c>
      <c r="P46" s="183">
        <f t="shared" si="13"/>
        <v>0</v>
      </c>
      <c r="Q46" s="134"/>
      <c r="R46" s="119"/>
    </row>
    <row r="47" spans="1:19">
      <c r="A47" s="348"/>
      <c r="B47" s="167" t="s">
        <v>52</v>
      </c>
      <c r="C47" s="168" t="s">
        <v>55</v>
      </c>
      <c r="D47" s="167" t="s">
        <v>51</v>
      </c>
      <c r="E47" s="170">
        <v>1.6</v>
      </c>
      <c r="F47" s="170">
        <v>1.6</v>
      </c>
      <c r="G47" s="170">
        <v>1.6</v>
      </c>
      <c r="H47" s="170">
        <v>1.6</v>
      </c>
      <c r="I47" s="170">
        <v>1.6</v>
      </c>
      <c r="J47" s="170">
        <v>1.6</v>
      </c>
      <c r="K47" s="170">
        <v>1.6</v>
      </c>
      <c r="L47" s="170">
        <v>1.6</v>
      </c>
      <c r="M47" s="136"/>
      <c r="N47" s="183">
        <f t="shared" si="11"/>
        <v>1.5999999999999999</v>
      </c>
      <c r="O47" s="183">
        <f t="shared" si="12"/>
        <v>1.6000000000000003</v>
      </c>
      <c r="P47" s="183">
        <f t="shared" si="13"/>
        <v>1.6</v>
      </c>
      <c r="Q47" s="134"/>
      <c r="R47" s="119"/>
    </row>
    <row r="48" spans="1:19">
      <c r="A48" s="351"/>
      <c r="B48" s="167" t="s">
        <v>160</v>
      </c>
      <c r="C48" s="168" t="s">
        <v>161</v>
      </c>
      <c r="D48" s="167" t="s">
        <v>51</v>
      </c>
      <c r="E48" s="170"/>
      <c r="F48" s="170"/>
      <c r="G48" s="170"/>
      <c r="H48" s="136">
        <v>3.2</v>
      </c>
      <c r="I48" s="136"/>
      <c r="J48" s="170"/>
      <c r="K48" s="170"/>
      <c r="L48" s="170"/>
      <c r="M48" s="136"/>
      <c r="N48" s="183">
        <f t="shared" si="11"/>
        <v>3.2</v>
      </c>
      <c r="O48" s="183">
        <f t="shared" si="12"/>
        <v>0</v>
      </c>
      <c r="P48" s="183">
        <f t="shared" si="13"/>
        <v>3.2</v>
      </c>
      <c r="Q48" s="134"/>
      <c r="R48" s="119"/>
    </row>
    <row r="49" spans="1:19">
      <c r="A49" s="349" t="s">
        <v>151</v>
      </c>
      <c r="B49" s="167" t="s">
        <v>260</v>
      </c>
      <c r="C49" s="140" t="s">
        <v>264</v>
      </c>
      <c r="D49" s="167" t="s">
        <v>51</v>
      </c>
      <c r="E49" s="170" t="s">
        <v>221</v>
      </c>
      <c r="F49" s="170" t="s">
        <v>221</v>
      </c>
      <c r="G49" s="136"/>
      <c r="H49" s="136">
        <v>2.9750000000000001</v>
      </c>
      <c r="I49" s="136">
        <v>2.9750000000000001</v>
      </c>
      <c r="J49" s="136">
        <v>2.9750000000000001</v>
      </c>
      <c r="K49" s="136"/>
      <c r="L49" s="136"/>
      <c r="M49" s="136"/>
      <c r="N49" s="183">
        <f t="shared" si="11"/>
        <v>2.9750000000000001</v>
      </c>
      <c r="O49" s="183">
        <f t="shared" si="12"/>
        <v>0</v>
      </c>
      <c r="P49" s="183">
        <f t="shared" si="13"/>
        <v>2.9750000000000001</v>
      </c>
      <c r="Q49" s="134"/>
      <c r="R49" s="119"/>
    </row>
    <row r="50" spans="1:19">
      <c r="A50" s="348"/>
      <c r="B50" s="167" t="s">
        <v>261</v>
      </c>
      <c r="C50" s="140" t="s">
        <v>265</v>
      </c>
      <c r="D50" s="167" t="s">
        <v>51</v>
      </c>
      <c r="E50" s="170">
        <v>0.57499999999999996</v>
      </c>
      <c r="F50" s="170">
        <v>0.57499999999999996</v>
      </c>
      <c r="G50" s="136">
        <v>0.67445085470085453</v>
      </c>
      <c r="H50" s="136" t="s">
        <v>221</v>
      </c>
      <c r="I50" s="136" t="s">
        <v>221</v>
      </c>
      <c r="J50" s="136" t="s">
        <v>221</v>
      </c>
      <c r="K50" s="136"/>
      <c r="L50" s="136"/>
      <c r="M50" s="136"/>
      <c r="N50" s="183">
        <f t="shared" ref="N50:N53" si="14">IFERROR(AVERAGE(E50:M50),0)</f>
        <v>0.60815028490028478</v>
      </c>
      <c r="O50" s="183">
        <f t="shared" ref="O50:O53" si="15">IFERROR(AVERAGE(E50:G50),0)</f>
        <v>0.60815028490028478</v>
      </c>
      <c r="P50" s="183">
        <f t="shared" ref="P50:P53" si="16">IFERROR(AVERAGE(H50:M50),0)</f>
        <v>0</v>
      </c>
      <c r="Q50" s="134"/>
      <c r="R50" s="119"/>
    </row>
    <row r="51" spans="1:19">
      <c r="A51" s="348"/>
      <c r="B51" s="167" t="s">
        <v>262</v>
      </c>
      <c r="C51" s="140" t="s">
        <v>266</v>
      </c>
      <c r="D51" s="167" t="s">
        <v>51</v>
      </c>
      <c r="E51" s="170">
        <v>1.29</v>
      </c>
      <c r="F51" s="170">
        <v>1.29</v>
      </c>
      <c r="G51" s="136">
        <v>1.3929400000000001</v>
      </c>
      <c r="H51" s="136" t="s">
        <v>221</v>
      </c>
      <c r="I51" s="136" t="s">
        <v>221</v>
      </c>
      <c r="J51" s="136" t="s">
        <v>221</v>
      </c>
      <c r="K51" s="136"/>
      <c r="L51" s="136"/>
      <c r="M51" s="136"/>
      <c r="N51" s="183">
        <f t="shared" si="14"/>
        <v>1.3243133333333335</v>
      </c>
      <c r="O51" s="183">
        <f t="shared" si="15"/>
        <v>1.3243133333333335</v>
      </c>
      <c r="P51" s="183">
        <f t="shared" si="16"/>
        <v>0</v>
      </c>
      <c r="Q51" s="134"/>
      <c r="R51" s="119"/>
    </row>
    <row r="52" spans="1:19">
      <c r="A52" s="348"/>
      <c r="B52" s="167" t="s">
        <v>263</v>
      </c>
      <c r="C52" s="140" t="s">
        <v>267</v>
      </c>
      <c r="D52" s="167" t="s">
        <v>51</v>
      </c>
      <c r="E52" s="170" t="s">
        <v>221</v>
      </c>
      <c r="F52" s="170" t="s">
        <v>221</v>
      </c>
      <c r="G52" s="136"/>
      <c r="H52" s="136">
        <v>3.3914999999999997</v>
      </c>
      <c r="I52" s="136">
        <v>3.3914999999999997</v>
      </c>
      <c r="J52" s="136">
        <v>3.3914999999999997</v>
      </c>
      <c r="K52" s="136"/>
      <c r="L52" s="136"/>
      <c r="M52" s="136"/>
      <c r="N52" s="183">
        <f t="shared" si="14"/>
        <v>3.3914999999999993</v>
      </c>
      <c r="O52" s="183">
        <f t="shared" si="15"/>
        <v>0</v>
      </c>
      <c r="P52" s="183">
        <f t="shared" si="16"/>
        <v>3.3914999999999993</v>
      </c>
      <c r="Q52" s="134"/>
      <c r="R52" s="119"/>
    </row>
    <row r="53" spans="1:19">
      <c r="A53" s="351"/>
      <c r="B53" s="167" t="s">
        <v>263</v>
      </c>
      <c r="C53" s="140" t="s">
        <v>268</v>
      </c>
      <c r="D53" s="167" t="s">
        <v>51</v>
      </c>
      <c r="E53" s="170" t="s">
        <v>221</v>
      </c>
      <c r="F53" s="170" t="s">
        <v>221</v>
      </c>
      <c r="G53" s="136"/>
      <c r="H53" s="136">
        <v>2.9750000000000001</v>
      </c>
      <c r="I53" s="136">
        <v>2.9750000000000001</v>
      </c>
      <c r="J53" s="136">
        <v>2.9750000000000001</v>
      </c>
      <c r="K53" s="136"/>
      <c r="L53" s="136"/>
      <c r="M53" s="136"/>
      <c r="N53" s="183">
        <f t="shared" si="14"/>
        <v>2.9750000000000001</v>
      </c>
      <c r="O53" s="183">
        <f t="shared" si="15"/>
        <v>0</v>
      </c>
      <c r="P53" s="183">
        <f t="shared" si="16"/>
        <v>2.9750000000000001</v>
      </c>
      <c r="Q53" s="134"/>
      <c r="R53" s="119"/>
    </row>
    <row r="54" spans="1:19">
      <c r="A54" s="139" t="s">
        <v>152</v>
      </c>
      <c r="B54" s="140"/>
      <c r="C54" s="140"/>
      <c r="D54" s="140"/>
      <c r="E54" s="136"/>
      <c r="F54" s="136"/>
      <c r="G54" s="136"/>
      <c r="H54" s="136"/>
      <c r="I54" s="136"/>
      <c r="J54" s="136"/>
      <c r="K54" s="136"/>
      <c r="L54" s="136"/>
      <c r="M54" s="136"/>
      <c r="N54" s="183">
        <f t="shared" si="11"/>
        <v>0</v>
      </c>
      <c r="O54" s="183">
        <f t="shared" si="12"/>
        <v>0</v>
      </c>
      <c r="P54" s="183">
        <f t="shared" si="13"/>
        <v>0</v>
      </c>
      <c r="Q54" s="134"/>
      <c r="R54" s="119"/>
    </row>
    <row r="55" spans="1:19">
      <c r="A55" s="139" t="s">
        <v>153</v>
      </c>
      <c r="B55" s="141"/>
      <c r="C55" s="141"/>
      <c r="D55" s="141"/>
      <c r="E55" s="174"/>
      <c r="F55" s="174"/>
      <c r="G55" s="174"/>
      <c r="H55" s="174"/>
      <c r="I55" s="136"/>
      <c r="J55" s="174"/>
      <c r="K55" s="174"/>
      <c r="L55" s="174"/>
      <c r="M55" s="174"/>
      <c r="N55" s="183">
        <f t="shared" si="11"/>
        <v>0</v>
      </c>
      <c r="O55" s="183">
        <f t="shared" si="12"/>
        <v>0</v>
      </c>
      <c r="P55" s="183">
        <f t="shared" si="13"/>
        <v>0</v>
      </c>
      <c r="Q55" s="134"/>
      <c r="R55" s="119"/>
    </row>
    <row r="56" spans="1:19">
      <c r="A56" s="139" t="s">
        <v>154</v>
      </c>
      <c r="B56" s="142"/>
      <c r="C56" s="140"/>
      <c r="D56" s="140"/>
      <c r="E56" s="175"/>
      <c r="F56" s="175"/>
      <c r="G56" s="175"/>
      <c r="H56" s="136"/>
      <c r="I56" s="136"/>
      <c r="J56" s="136"/>
      <c r="K56" s="136"/>
      <c r="L56" s="136"/>
      <c r="M56" s="136"/>
      <c r="N56" s="183">
        <f t="shared" si="11"/>
        <v>0</v>
      </c>
      <c r="O56" s="183">
        <f t="shared" si="12"/>
        <v>0</v>
      </c>
      <c r="P56" s="183">
        <f t="shared" si="13"/>
        <v>0</v>
      </c>
      <c r="Q56" s="134"/>
      <c r="R56" s="119"/>
    </row>
    <row r="57" spans="1:19">
      <c r="A57" s="124"/>
      <c r="B57" s="129"/>
      <c r="C57" s="129"/>
      <c r="D57" s="129"/>
      <c r="E57" s="129"/>
      <c r="F57" s="129"/>
      <c r="G57" s="129"/>
      <c r="H57" s="129"/>
      <c r="I57" s="129"/>
      <c r="J57" s="129"/>
      <c r="K57" s="129"/>
      <c r="L57" s="129"/>
      <c r="M57" s="129"/>
      <c r="N57" s="126"/>
      <c r="O57" s="126"/>
      <c r="P57" s="126"/>
      <c r="Q57" s="126"/>
      <c r="R57" s="119"/>
    </row>
    <row r="58" spans="1:19" ht="52">
      <c r="A58" s="181" t="s">
        <v>57</v>
      </c>
      <c r="B58" s="132" t="s">
        <v>46</v>
      </c>
      <c r="C58" s="121" t="s">
        <v>47</v>
      </c>
      <c r="D58" s="132" t="s">
        <v>48</v>
      </c>
      <c r="E58" s="121" t="s">
        <v>95</v>
      </c>
      <c r="F58" s="121" t="s">
        <v>96</v>
      </c>
      <c r="G58" s="121" t="s">
        <v>97</v>
      </c>
      <c r="H58" s="121" t="s">
        <v>98</v>
      </c>
      <c r="I58" s="133" t="s">
        <v>99</v>
      </c>
      <c r="J58" s="121" t="s">
        <v>100</v>
      </c>
      <c r="K58" s="121" t="s">
        <v>101</v>
      </c>
      <c r="L58" s="121" t="s">
        <v>102</v>
      </c>
      <c r="M58" s="121" t="s">
        <v>103</v>
      </c>
      <c r="N58" s="121" t="s">
        <v>192</v>
      </c>
      <c r="O58" s="121" t="s">
        <v>210</v>
      </c>
      <c r="P58" s="121" t="s">
        <v>211</v>
      </c>
      <c r="Q58" s="121" t="s">
        <v>93</v>
      </c>
      <c r="R58" s="119"/>
    </row>
    <row r="59" spans="1:19">
      <c r="A59" s="147" t="str">
        <f>"Mittelwert "&amp;A58</f>
        <v>Mittelwert FFP2 mit Ventil</v>
      </c>
      <c r="B59" s="178"/>
      <c r="C59" s="179"/>
      <c r="D59" s="179"/>
      <c r="E59" s="180">
        <f t="shared" ref="E59:M59" si="17">IF(IFERROR(AVERAGE(E60:E72),0)=0,"",IFERROR(AVERAGE(E60:E72),0))</f>
        <v>1.6519999999999999</v>
      </c>
      <c r="F59" s="180">
        <f t="shared" si="17"/>
        <v>1.6519999999999999</v>
      </c>
      <c r="G59" s="180">
        <f t="shared" si="17"/>
        <v>1.5076404494382023</v>
      </c>
      <c r="H59" s="180">
        <f t="shared" si="17"/>
        <v>2.9267901960784317</v>
      </c>
      <c r="I59" s="180">
        <f t="shared" si="17"/>
        <v>2.280185294117647</v>
      </c>
      <c r="J59" s="180">
        <f t="shared" si="17"/>
        <v>2.280185294117647</v>
      </c>
      <c r="K59" s="180">
        <f t="shared" si="17"/>
        <v>2.1</v>
      </c>
      <c r="L59" s="180">
        <f t="shared" si="17"/>
        <v>3.5</v>
      </c>
      <c r="M59" s="180" t="str">
        <f t="shared" si="17"/>
        <v/>
      </c>
      <c r="N59" s="180">
        <f>IFERROR(AVERAGE(E59:M59),0)</f>
        <v>2.2373501542189906</v>
      </c>
      <c r="O59" s="180">
        <f>IFERROR(AVERAGE(E59:G59),0)</f>
        <v>1.603880149812734</v>
      </c>
      <c r="P59" s="180">
        <f>IFERROR(AVERAGE(H59:M59),0)</f>
        <v>2.617432156862745</v>
      </c>
      <c r="Q59" s="134"/>
      <c r="R59" s="119"/>
      <c r="S59" s="123"/>
    </row>
    <row r="60" spans="1:19">
      <c r="A60" s="348" t="s">
        <v>148</v>
      </c>
      <c r="B60" s="167" t="s">
        <v>52</v>
      </c>
      <c r="C60" s="168" t="s">
        <v>58</v>
      </c>
      <c r="D60" s="167" t="s">
        <v>51</v>
      </c>
      <c r="E60" s="149">
        <v>2.2599999999999998</v>
      </c>
      <c r="F60" s="149">
        <v>2.2599999999999998</v>
      </c>
      <c r="G60" s="149">
        <v>2.2599999999999998</v>
      </c>
      <c r="H60" s="149">
        <v>2.2599999999999998</v>
      </c>
      <c r="I60" s="149">
        <v>2.2599999999999998</v>
      </c>
      <c r="J60" s="149">
        <v>2.2599999999999998</v>
      </c>
      <c r="K60" s="149"/>
      <c r="L60" s="136"/>
      <c r="M60" s="136"/>
      <c r="N60" s="183">
        <f t="shared" ref="N60:N72" si="18">IFERROR(AVERAGE(E60:M60),0)</f>
        <v>2.2599999999999998</v>
      </c>
      <c r="O60" s="183">
        <f>IFERROR(AVERAGE(E60:G60),0)</f>
        <v>2.2599999999999998</v>
      </c>
      <c r="P60" s="183">
        <f>IFERROR(AVERAGE(H60:M60),0)</f>
        <v>2.2599999999999998</v>
      </c>
      <c r="Q60" s="134" t="s">
        <v>194</v>
      </c>
      <c r="R60" s="119"/>
    </row>
    <row r="61" spans="1:19">
      <c r="A61" s="351"/>
      <c r="B61" s="167" t="s">
        <v>56</v>
      </c>
      <c r="C61" s="168">
        <v>34200</v>
      </c>
      <c r="D61" s="167" t="s">
        <v>51</v>
      </c>
      <c r="E61" s="149">
        <v>0.64</v>
      </c>
      <c r="F61" s="149">
        <v>0.64</v>
      </c>
      <c r="G61" s="149">
        <v>0.64</v>
      </c>
      <c r="H61" s="149">
        <v>0.64</v>
      </c>
      <c r="I61" s="171"/>
      <c r="J61" s="171"/>
      <c r="K61" s="171"/>
      <c r="L61" s="135"/>
      <c r="M61" s="135"/>
      <c r="N61" s="183">
        <f>IFERROR(AVERAGE(E61:M61),0)</f>
        <v>0.64</v>
      </c>
      <c r="O61" s="183">
        <f t="shared" ref="O61:O72" si="19">IFERROR(AVERAGE(E61:G61),0)</f>
        <v>0.64</v>
      </c>
      <c r="P61" s="183">
        <f t="shared" ref="P61:P72" si="20">IFERROR(AVERAGE(H61:M61),0)</f>
        <v>0.64</v>
      </c>
      <c r="Q61" s="134" t="s">
        <v>203</v>
      </c>
      <c r="R61" s="119"/>
    </row>
    <row r="62" spans="1:19">
      <c r="A62" s="145" t="s">
        <v>149</v>
      </c>
      <c r="B62" s="140"/>
      <c r="C62" s="169"/>
      <c r="D62" s="140"/>
      <c r="E62" s="149"/>
      <c r="F62" s="149"/>
      <c r="G62" s="149"/>
      <c r="H62" s="149"/>
      <c r="I62" s="150"/>
      <c r="J62" s="149"/>
      <c r="K62" s="136"/>
      <c r="L62" s="136"/>
      <c r="M62" s="136"/>
      <c r="N62" s="183">
        <f t="shared" si="18"/>
        <v>0</v>
      </c>
      <c r="O62" s="183">
        <f t="shared" si="19"/>
        <v>0</v>
      </c>
      <c r="P62" s="183">
        <f t="shared" si="20"/>
        <v>0</v>
      </c>
      <c r="Q62" s="134" t="s">
        <v>166</v>
      </c>
      <c r="R62" s="119"/>
    </row>
    <row r="63" spans="1:19">
      <c r="A63" s="349" t="s">
        <v>150</v>
      </c>
      <c r="B63" s="167" t="s">
        <v>162</v>
      </c>
      <c r="C63" s="168" t="s">
        <v>163</v>
      </c>
      <c r="D63" s="167" t="s">
        <v>51</v>
      </c>
      <c r="E63" s="150"/>
      <c r="F63" s="150"/>
      <c r="G63" s="150"/>
      <c r="H63" s="150">
        <v>5</v>
      </c>
      <c r="I63" s="150"/>
      <c r="J63" s="150"/>
      <c r="K63" s="150"/>
      <c r="L63" s="150"/>
      <c r="M63" s="136"/>
      <c r="N63" s="183">
        <f t="shared" si="18"/>
        <v>5</v>
      </c>
      <c r="O63" s="183">
        <f t="shared" si="19"/>
        <v>0</v>
      </c>
      <c r="P63" s="183">
        <f t="shared" si="20"/>
        <v>5</v>
      </c>
      <c r="Q63" s="134"/>
      <c r="R63" s="119"/>
    </row>
    <row r="64" spans="1:19">
      <c r="A64" s="348"/>
      <c r="B64" s="167" t="s">
        <v>52</v>
      </c>
      <c r="C64" s="168" t="s">
        <v>58</v>
      </c>
      <c r="D64" s="167" t="s">
        <v>51</v>
      </c>
      <c r="E64" s="150">
        <v>2.1</v>
      </c>
      <c r="F64" s="150">
        <v>2.1</v>
      </c>
      <c r="G64" s="150">
        <v>2.1</v>
      </c>
      <c r="H64" s="150">
        <v>2.1</v>
      </c>
      <c r="I64" s="150">
        <v>2.1</v>
      </c>
      <c r="J64" s="150">
        <v>2.1</v>
      </c>
      <c r="K64" s="150">
        <v>2.1</v>
      </c>
      <c r="L64" s="150">
        <v>2.1</v>
      </c>
      <c r="M64" s="136"/>
      <c r="N64" s="183">
        <f t="shared" si="18"/>
        <v>2.1</v>
      </c>
      <c r="O64" s="183">
        <f t="shared" si="19"/>
        <v>2.1</v>
      </c>
      <c r="P64" s="183">
        <f t="shared" si="20"/>
        <v>2.1</v>
      </c>
      <c r="Q64" s="134"/>
      <c r="R64" s="119"/>
    </row>
    <row r="65" spans="1:19">
      <c r="A65" s="348"/>
      <c r="B65" s="167" t="s">
        <v>52</v>
      </c>
      <c r="C65" s="168" t="s">
        <v>164</v>
      </c>
      <c r="D65" s="167" t="s">
        <v>51</v>
      </c>
      <c r="E65" s="150"/>
      <c r="F65" s="150"/>
      <c r="G65" s="150"/>
      <c r="H65" s="150"/>
      <c r="I65" s="150">
        <v>2.1</v>
      </c>
      <c r="J65" s="150">
        <v>2.1</v>
      </c>
      <c r="K65" s="150">
        <v>2.1</v>
      </c>
      <c r="L65" s="150"/>
      <c r="M65" s="136"/>
      <c r="N65" s="183">
        <f t="shared" si="18"/>
        <v>2.1</v>
      </c>
      <c r="O65" s="183">
        <f t="shared" si="19"/>
        <v>0</v>
      </c>
      <c r="P65" s="183">
        <f t="shared" si="20"/>
        <v>2.1</v>
      </c>
      <c r="Q65" s="134"/>
      <c r="R65" s="119"/>
    </row>
    <row r="66" spans="1:19">
      <c r="A66" s="351"/>
      <c r="B66" s="167" t="s">
        <v>165</v>
      </c>
      <c r="C66" s="168" t="s">
        <v>163</v>
      </c>
      <c r="D66" s="167" t="s">
        <v>51</v>
      </c>
      <c r="E66" s="150"/>
      <c r="F66" s="150"/>
      <c r="G66" s="150"/>
      <c r="H66" s="150">
        <v>4.9000000000000004</v>
      </c>
      <c r="I66" s="150"/>
      <c r="J66" s="150"/>
      <c r="K66" s="150"/>
      <c r="L66" s="150">
        <v>4.9000000000000004</v>
      </c>
      <c r="M66" s="136"/>
      <c r="N66" s="183">
        <f t="shared" si="18"/>
        <v>4.9000000000000004</v>
      </c>
      <c r="O66" s="183">
        <f t="shared" si="19"/>
        <v>0</v>
      </c>
      <c r="P66" s="183">
        <f t="shared" si="20"/>
        <v>4.9000000000000004</v>
      </c>
      <c r="Q66" s="134"/>
      <c r="R66" s="119"/>
    </row>
    <row r="67" spans="1:19">
      <c r="A67" s="349" t="s">
        <v>151</v>
      </c>
      <c r="B67" s="167" t="s">
        <v>269</v>
      </c>
      <c r="C67" s="140" t="s">
        <v>270</v>
      </c>
      <c r="D67" s="167" t="s">
        <v>51</v>
      </c>
      <c r="E67" s="136">
        <v>2.27</v>
      </c>
      <c r="F67" s="136">
        <v>2.27</v>
      </c>
      <c r="G67" s="136">
        <v>2.27</v>
      </c>
      <c r="H67" s="136">
        <v>2.6607411764705882</v>
      </c>
      <c r="I67" s="136">
        <v>2.6607411764705882</v>
      </c>
      <c r="J67" s="136">
        <v>2.6607411764705882</v>
      </c>
      <c r="K67" s="136"/>
      <c r="L67" s="136"/>
      <c r="M67" s="136"/>
      <c r="N67" s="183">
        <f t="shared" si="18"/>
        <v>2.4653705882352939</v>
      </c>
      <c r="O67" s="183">
        <f t="shared" si="19"/>
        <v>2.27</v>
      </c>
      <c r="P67" s="183">
        <f t="shared" si="20"/>
        <v>2.6607411764705882</v>
      </c>
      <c r="Q67" s="134"/>
      <c r="R67" s="119"/>
    </row>
    <row r="68" spans="1:19">
      <c r="A68" s="348"/>
      <c r="B68" s="167" t="s">
        <v>261</v>
      </c>
      <c r="C68" s="140" t="s">
        <v>271</v>
      </c>
      <c r="D68" s="167" t="s">
        <v>51</v>
      </c>
      <c r="E68" s="136" t="s">
        <v>221</v>
      </c>
      <c r="F68" s="136" t="s">
        <v>221</v>
      </c>
      <c r="G68" s="136">
        <v>0.64</v>
      </c>
      <c r="H68" s="136" t="s">
        <v>221</v>
      </c>
      <c r="I68" s="136" t="s">
        <v>221</v>
      </c>
      <c r="J68" s="136" t="s">
        <v>221</v>
      </c>
      <c r="K68" s="136"/>
      <c r="L68" s="136"/>
      <c r="M68" s="136"/>
      <c r="N68" s="183">
        <f t="shared" ref="N68:N69" si="21">IFERROR(AVERAGE(E68:M68),0)</f>
        <v>0.64</v>
      </c>
      <c r="O68" s="183">
        <f t="shared" ref="O68:O69" si="22">IFERROR(AVERAGE(E68:G68),0)</f>
        <v>0.64</v>
      </c>
      <c r="P68" s="183">
        <f t="shared" ref="P68:P69" si="23">IFERROR(AVERAGE(H68:M68),0)</f>
        <v>0</v>
      </c>
      <c r="Q68" s="134"/>
      <c r="R68" s="119"/>
    </row>
    <row r="69" spans="1:19">
      <c r="A69" s="351"/>
      <c r="B69" s="167" t="s">
        <v>261</v>
      </c>
      <c r="C69" s="140" t="s">
        <v>272</v>
      </c>
      <c r="D69" s="167" t="s">
        <v>51</v>
      </c>
      <c r="E69" s="136">
        <v>0.99</v>
      </c>
      <c r="F69" s="136">
        <v>0.99</v>
      </c>
      <c r="G69" s="136">
        <v>1.1358426966292134</v>
      </c>
      <c r="H69" s="136" t="s">
        <v>221</v>
      </c>
      <c r="I69" s="136" t="s">
        <v>221</v>
      </c>
      <c r="J69" s="136" t="s">
        <v>221</v>
      </c>
      <c r="K69" s="136"/>
      <c r="L69" s="136"/>
      <c r="M69" s="136"/>
      <c r="N69" s="183">
        <f t="shared" si="21"/>
        <v>1.0386142322097378</v>
      </c>
      <c r="O69" s="183">
        <f t="shared" si="22"/>
        <v>1.0386142322097378</v>
      </c>
      <c r="P69" s="183">
        <f t="shared" si="23"/>
        <v>0</v>
      </c>
      <c r="Q69" s="134"/>
      <c r="R69" s="119"/>
    </row>
    <row r="70" spans="1:19">
      <c r="A70" s="139" t="s">
        <v>152</v>
      </c>
      <c r="B70" s="140"/>
      <c r="C70" s="140"/>
      <c r="D70" s="140"/>
      <c r="E70" s="136"/>
      <c r="F70" s="136"/>
      <c r="G70" s="136"/>
      <c r="H70" s="136"/>
      <c r="I70" s="136"/>
      <c r="J70" s="136"/>
      <c r="K70" s="136"/>
      <c r="L70" s="136"/>
      <c r="M70" s="136"/>
      <c r="N70" s="183">
        <f t="shared" si="18"/>
        <v>0</v>
      </c>
      <c r="O70" s="183">
        <f t="shared" si="19"/>
        <v>0</v>
      </c>
      <c r="P70" s="183">
        <f t="shared" si="20"/>
        <v>0</v>
      </c>
      <c r="Q70" s="134"/>
      <c r="R70" s="119"/>
    </row>
    <row r="71" spans="1:19">
      <c r="A71" s="139" t="s">
        <v>153</v>
      </c>
      <c r="B71" s="141"/>
      <c r="C71" s="141"/>
      <c r="D71" s="141"/>
      <c r="E71" s="174"/>
      <c r="F71" s="174"/>
      <c r="G71" s="174"/>
      <c r="H71" s="174"/>
      <c r="I71" s="137"/>
      <c r="J71" s="174"/>
      <c r="K71" s="174"/>
      <c r="L71" s="174"/>
      <c r="M71" s="174"/>
      <c r="N71" s="183">
        <f t="shared" si="18"/>
        <v>0</v>
      </c>
      <c r="O71" s="183">
        <f t="shared" si="19"/>
        <v>0</v>
      </c>
      <c r="P71" s="183">
        <f t="shared" si="20"/>
        <v>0</v>
      </c>
      <c r="Q71" s="134"/>
      <c r="R71" s="119"/>
    </row>
    <row r="72" spans="1:19">
      <c r="A72" s="139" t="s">
        <v>154</v>
      </c>
      <c r="B72" s="142"/>
      <c r="C72" s="140"/>
      <c r="D72" s="140"/>
      <c r="E72" s="175"/>
      <c r="F72" s="175"/>
      <c r="G72" s="175"/>
      <c r="H72" s="136"/>
      <c r="I72" s="138"/>
      <c r="J72" s="136"/>
      <c r="K72" s="136"/>
      <c r="L72" s="136"/>
      <c r="M72" s="136"/>
      <c r="N72" s="183">
        <f t="shared" si="18"/>
        <v>0</v>
      </c>
      <c r="O72" s="183">
        <f t="shared" si="19"/>
        <v>0</v>
      </c>
      <c r="P72" s="183">
        <f t="shared" si="20"/>
        <v>0</v>
      </c>
      <c r="Q72" s="134"/>
      <c r="R72" s="119"/>
    </row>
    <row r="73" spans="1:19">
      <c r="A73" s="131"/>
      <c r="B73" s="128"/>
      <c r="C73" s="128"/>
      <c r="D73" s="128"/>
      <c r="E73" s="127"/>
      <c r="F73" s="127"/>
      <c r="G73" s="127"/>
      <c r="H73" s="127"/>
      <c r="I73" s="127"/>
      <c r="J73" s="127"/>
      <c r="K73" s="127"/>
      <c r="L73" s="127"/>
      <c r="M73" s="127"/>
      <c r="N73" s="127"/>
      <c r="O73" s="127"/>
      <c r="P73" s="127"/>
      <c r="Q73" s="126"/>
      <c r="R73" s="119"/>
    </row>
    <row r="74" spans="1:19" ht="52">
      <c r="A74" s="181" t="s">
        <v>59</v>
      </c>
      <c r="B74" s="132" t="s">
        <v>46</v>
      </c>
      <c r="C74" s="121" t="s">
        <v>47</v>
      </c>
      <c r="D74" s="132" t="s">
        <v>48</v>
      </c>
      <c r="E74" s="121" t="s">
        <v>95</v>
      </c>
      <c r="F74" s="121" t="s">
        <v>96</v>
      </c>
      <c r="G74" s="121" t="s">
        <v>97</v>
      </c>
      <c r="H74" s="121" t="s">
        <v>98</v>
      </c>
      <c r="I74" s="133" t="s">
        <v>99</v>
      </c>
      <c r="J74" s="121" t="s">
        <v>100</v>
      </c>
      <c r="K74" s="121" t="s">
        <v>101</v>
      </c>
      <c r="L74" s="121" t="s">
        <v>102</v>
      </c>
      <c r="M74" s="121" t="s">
        <v>103</v>
      </c>
      <c r="N74" s="121" t="s">
        <v>192</v>
      </c>
      <c r="O74" s="121" t="s">
        <v>210</v>
      </c>
      <c r="P74" s="121" t="s">
        <v>211</v>
      </c>
      <c r="Q74" s="121" t="s">
        <v>93</v>
      </c>
      <c r="R74" s="119"/>
    </row>
    <row r="75" spans="1:19">
      <c r="A75" s="147" t="str">
        <f>"Mittelwert "&amp;A74</f>
        <v>Mittelwert FFP3 ohne Ventil</v>
      </c>
      <c r="B75" s="178"/>
      <c r="C75" s="179"/>
      <c r="D75" s="179"/>
      <c r="E75" s="180">
        <f t="shared" ref="E75:M75" si="24">IF(IFERROR(AVERAGE(E76:E85),0)=0,"",IFERROR(AVERAGE(E76:E85),0))</f>
        <v>2.4933333333333336</v>
      </c>
      <c r="F75" s="180">
        <f t="shared" si="24"/>
        <v>2.4933333333333336</v>
      </c>
      <c r="G75" s="180">
        <f t="shared" si="24"/>
        <v>2.4933333333333336</v>
      </c>
      <c r="H75" s="180">
        <f t="shared" si="24"/>
        <v>2.7645312500000001</v>
      </c>
      <c r="I75" s="180">
        <f t="shared" si="24"/>
        <v>3.7260416666666667</v>
      </c>
      <c r="J75" s="180">
        <f t="shared" si="24"/>
        <v>2.1140625000000002</v>
      </c>
      <c r="K75" s="180">
        <f t="shared" si="24"/>
        <v>3.2</v>
      </c>
      <c r="L75" s="180">
        <f t="shared" si="24"/>
        <v>3.2</v>
      </c>
      <c r="M75" s="180" t="str">
        <f t="shared" si="24"/>
        <v/>
      </c>
      <c r="N75" s="180">
        <f>IFERROR(AVERAGE(E75:M75),0)</f>
        <v>2.8105794270833333</v>
      </c>
      <c r="O75" s="180">
        <f>IFERROR(AVERAGE(E75:G75),0)</f>
        <v>2.4933333333333336</v>
      </c>
      <c r="P75" s="180">
        <f>IFERROR(AVERAGE(H75:M75),0)</f>
        <v>3.000927083333333</v>
      </c>
      <c r="Q75" s="134"/>
      <c r="R75" s="119"/>
      <c r="S75" s="123"/>
    </row>
    <row r="76" spans="1:19">
      <c r="A76" s="348" t="s">
        <v>148</v>
      </c>
      <c r="B76" s="167" t="s">
        <v>52</v>
      </c>
      <c r="C76" s="168" t="s">
        <v>60</v>
      </c>
      <c r="D76" s="167" t="s">
        <v>51</v>
      </c>
      <c r="E76" s="149">
        <v>3.45</v>
      </c>
      <c r="F76" s="149">
        <v>3.45</v>
      </c>
      <c r="G76" s="149">
        <v>3.45</v>
      </c>
      <c r="H76" s="176"/>
      <c r="I76" s="176"/>
      <c r="J76" s="176"/>
      <c r="K76" s="176"/>
      <c r="L76" s="136"/>
      <c r="M76" s="135"/>
      <c r="N76" s="183">
        <f t="shared" ref="N76:N85" si="25">IFERROR(AVERAGE(E76:M76),0)</f>
        <v>3.4500000000000006</v>
      </c>
      <c r="O76" s="183">
        <f>IFERROR(AVERAGE(E76:G76),0)</f>
        <v>3.4500000000000006</v>
      </c>
      <c r="P76" s="183">
        <f>IFERROR(AVERAGE(H76:M76),0)</f>
        <v>0</v>
      </c>
      <c r="Q76" s="134" t="s">
        <v>201</v>
      </c>
      <c r="R76" s="119"/>
    </row>
    <row r="77" spans="1:19">
      <c r="A77" s="348"/>
      <c r="B77" s="167" t="s">
        <v>56</v>
      </c>
      <c r="C77" s="168">
        <v>35100</v>
      </c>
      <c r="D77" s="167" t="s">
        <v>51</v>
      </c>
      <c r="E77" s="149">
        <v>0.83</v>
      </c>
      <c r="F77" s="149">
        <v>0.83</v>
      </c>
      <c r="G77" s="149">
        <v>0.83</v>
      </c>
      <c r="H77" s="149">
        <v>0.83</v>
      </c>
      <c r="I77" s="176"/>
      <c r="J77" s="176"/>
      <c r="K77" s="176"/>
      <c r="L77" s="136"/>
      <c r="M77" s="135"/>
      <c r="N77" s="183">
        <f>IFERROR(AVERAGE(E77:M77),0)</f>
        <v>0.83</v>
      </c>
      <c r="O77" s="183">
        <f t="shared" ref="O77:O85" si="26">IFERROR(AVERAGE(E77:G77),0)</f>
        <v>0.83</v>
      </c>
      <c r="P77" s="183">
        <f t="shared" ref="P77:P85" si="27">IFERROR(AVERAGE(H77:M77),0)</f>
        <v>0.83</v>
      </c>
      <c r="Q77" s="134" t="s">
        <v>202</v>
      </c>
      <c r="R77" s="119"/>
    </row>
    <row r="78" spans="1:19">
      <c r="A78" s="351"/>
      <c r="B78" s="140" t="s">
        <v>135</v>
      </c>
      <c r="C78" s="140"/>
      <c r="D78" s="140"/>
      <c r="E78" s="149"/>
      <c r="F78" s="149"/>
      <c r="G78" s="149"/>
      <c r="H78" s="149"/>
      <c r="I78" s="149">
        <v>6.95</v>
      </c>
      <c r="J78" s="149"/>
      <c r="K78" s="149"/>
      <c r="L78" s="136"/>
      <c r="M78" s="136"/>
      <c r="N78" s="183">
        <f t="shared" si="25"/>
        <v>6.95</v>
      </c>
      <c r="O78" s="183">
        <f t="shared" si="26"/>
        <v>0</v>
      </c>
      <c r="P78" s="183">
        <f t="shared" si="27"/>
        <v>6.95</v>
      </c>
      <c r="Q78" s="134"/>
      <c r="R78" s="119"/>
    </row>
    <row r="79" spans="1:19">
      <c r="A79" s="145" t="s">
        <v>149</v>
      </c>
      <c r="B79" s="140"/>
      <c r="C79" s="169"/>
      <c r="D79" s="140"/>
      <c r="E79" s="149"/>
      <c r="F79" s="149"/>
      <c r="G79" s="149"/>
      <c r="H79" s="149"/>
      <c r="I79" s="149"/>
      <c r="J79" s="149"/>
      <c r="K79" s="136"/>
      <c r="L79" s="136"/>
      <c r="M79" s="136"/>
      <c r="N79" s="183">
        <f t="shared" si="25"/>
        <v>0</v>
      </c>
      <c r="O79" s="183">
        <f t="shared" si="26"/>
        <v>0</v>
      </c>
      <c r="P79" s="183">
        <f t="shared" si="27"/>
        <v>0</v>
      </c>
      <c r="Q79" s="134" t="s">
        <v>166</v>
      </c>
      <c r="R79" s="119"/>
    </row>
    <row r="80" spans="1:19">
      <c r="A80" s="349" t="s">
        <v>150</v>
      </c>
      <c r="B80" s="167" t="s">
        <v>167</v>
      </c>
      <c r="C80" s="168" t="s">
        <v>168</v>
      </c>
      <c r="D80" s="167" t="s">
        <v>51</v>
      </c>
      <c r="E80" s="149"/>
      <c r="F80" s="149"/>
      <c r="G80" s="149"/>
      <c r="H80" s="149">
        <v>6</v>
      </c>
      <c r="I80" s="149"/>
      <c r="J80" s="149"/>
      <c r="K80" s="149"/>
      <c r="L80" s="149"/>
      <c r="M80" s="136"/>
      <c r="N80" s="183">
        <f t="shared" si="25"/>
        <v>6</v>
      </c>
      <c r="O80" s="183">
        <f t="shared" si="26"/>
        <v>0</v>
      </c>
      <c r="P80" s="183">
        <f t="shared" si="27"/>
        <v>6</v>
      </c>
      <c r="Q80" s="134"/>
      <c r="R80" s="119"/>
    </row>
    <row r="81" spans="1:20">
      <c r="A81" s="348"/>
      <c r="B81" s="167" t="s">
        <v>52</v>
      </c>
      <c r="C81" s="168" t="s">
        <v>60</v>
      </c>
      <c r="D81" s="167" t="s">
        <v>51</v>
      </c>
      <c r="E81" s="149">
        <v>3.2</v>
      </c>
      <c r="F81" s="149">
        <v>3.2</v>
      </c>
      <c r="G81" s="149">
        <v>3.2</v>
      </c>
      <c r="H81" s="149">
        <v>3.2</v>
      </c>
      <c r="I81" s="149">
        <v>3.2</v>
      </c>
      <c r="J81" s="149">
        <v>3.2</v>
      </c>
      <c r="K81" s="149">
        <v>3.2</v>
      </c>
      <c r="L81" s="149">
        <v>3.2</v>
      </c>
      <c r="M81" s="136"/>
      <c r="N81" s="183">
        <f t="shared" si="25"/>
        <v>3.1999999999999997</v>
      </c>
      <c r="O81" s="183">
        <f t="shared" si="26"/>
        <v>3.2000000000000006</v>
      </c>
      <c r="P81" s="183">
        <f t="shared" si="27"/>
        <v>3.2</v>
      </c>
      <c r="Q81" s="134"/>
      <c r="R81" s="119"/>
    </row>
    <row r="82" spans="1:20">
      <c r="A82" s="139" t="s">
        <v>151</v>
      </c>
      <c r="B82" s="167" t="s">
        <v>261</v>
      </c>
      <c r="C82" s="167" t="s">
        <v>273</v>
      </c>
      <c r="D82" s="167" t="s">
        <v>51</v>
      </c>
      <c r="E82" s="136"/>
      <c r="F82" s="136"/>
      <c r="G82" s="136"/>
      <c r="H82" s="149">
        <v>1.028125</v>
      </c>
      <c r="I82" s="149">
        <v>1.028125</v>
      </c>
      <c r="J82" s="149">
        <v>1.028125</v>
      </c>
      <c r="K82" s="136"/>
      <c r="L82" s="136"/>
      <c r="M82" s="136"/>
      <c r="N82" s="183">
        <f t="shared" si="25"/>
        <v>1.028125</v>
      </c>
      <c r="O82" s="183">
        <f t="shared" si="26"/>
        <v>0</v>
      </c>
      <c r="P82" s="183">
        <f t="shared" si="27"/>
        <v>1.028125</v>
      </c>
      <c r="Q82" s="134"/>
      <c r="R82" s="119"/>
    </row>
    <row r="83" spans="1:20">
      <c r="A83" s="139" t="s">
        <v>152</v>
      </c>
      <c r="B83" s="140"/>
      <c r="C83" s="140"/>
      <c r="D83" s="140"/>
      <c r="E83" s="136"/>
      <c r="F83" s="136"/>
      <c r="G83" s="136"/>
      <c r="H83" s="136"/>
      <c r="I83" s="136"/>
      <c r="J83" s="136"/>
      <c r="K83" s="136"/>
      <c r="L83" s="136"/>
      <c r="M83" s="136"/>
      <c r="N83" s="183">
        <f t="shared" si="25"/>
        <v>0</v>
      </c>
      <c r="O83" s="183">
        <f t="shared" si="26"/>
        <v>0</v>
      </c>
      <c r="P83" s="183">
        <f t="shared" si="27"/>
        <v>0</v>
      </c>
      <c r="Q83" s="134"/>
      <c r="R83" s="119"/>
    </row>
    <row r="84" spans="1:20">
      <c r="A84" s="139" t="s">
        <v>153</v>
      </c>
      <c r="B84" s="141"/>
      <c r="C84" s="141"/>
      <c r="D84" s="141"/>
      <c r="E84" s="174"/>
      <c r="F84" s="174"/>
      <c r="G84" s="174"/>
      <c r="H84" s="174"/>
      <c r="I84" s="174"/>
      <c r="J84" s="174"/>
      <c r="K84" s="174"/>
      <c r="L84" s="174"/>
      <c r="M84" s="174"/>
      <c r="N84" s="183">
        <f t="shared" si="25"/>
        <v>0</v>
      </c>
      <c r="O84" s="183">
        <f t="shared" si="26"/>
        <v>0</v>
      </c>
      <c r="P84" s="183">
        <f t="shared" si="27"/>
        <v>0</v>
      </c>
      <c r="Q84" s="134"/>
      <c r="R84" s="119"/>
    </row>
    <row r="85" spans="1:20">
      <c r="A85" s="139" t="s">
        <v>154</v>
      </c>
      <c r="B85" s="142"/>
      <c r="C85" s="140"/>
      <c r="D85" s="140"/>
      <c r="E85" s="175"/>
      <c r="F85" s="175"/>
      <c r="G85" s="175"/>
      <c r="H85" s="136"/>
      <c r="I85" s="136"/>
      <c r="J85" s="136"/>
      <c r="K85" s="136"/>
      <c r="L85" s="136"/>
      <c r="M85" s="136"/>
      <c r="N85" s="183">
        <f t="shared" si="25"/>
        <v>0</v>
      </c>
      <c r="O85" s="183">
        <f t="shared" si="26"/>
        <v>0</v>
      </c>
      <c r="P85" s="183">
        <f t="shared" si="27"/>
        <v>0</v>
      </c>
      <c r="Q85" s="134"/>
      <c r="R85" s="119"/>
    </row>
    <row r="86" spans="1:20">
      <c r="A86" s="124"/>
      <c r="B86" s="128"/>
      <c r="C86" s="128"/>
      <c r="D86" s="128"/>
      <c r="E86" s="127"/>
      <c r="F86" s="127"/>
      <c r="G86" s="127"/>
      <c r="H86" s="127"/>
      <c r="I86" s="127"/>
      <c r="J86" s="127"/>
      <c r="K86" s="127"/>
      <c r="L86" s="127"/>
      <c r="M86" s="127"/>
      <c r="N86" s="127"/>
      <c r="O86" s="127"/>
      <c r="P86" s="127"/>
      <c r="Q86" s="126"/>
      <c r="R86" s="119"/>
    </row>
    <row r="87" spans="1:20" ht="52">
      <c r="A87" s="181" t="s">
        <v>61</v>
      </c>
      <c r="B87" s="132" t="s">
        <v>46</v>
      </c>
      <c r="C87" s="121" t="s">
        <v>47</v>
      </c>
      <c r="D87" s="132" t="s">
        <v>48</v>
      </c>
      <c r="E87" s="121" t="s">
        <v>95</v>
      </c>
      <c r="F87" s="121" t="s">
        <v>96</v>
      </c>
      <c r="G87" s="121" t="s">
        <v>97</v>
      </c>
      <c r="H87" s="121" t="s">
        <v>98</v>
      </c>
      <c r="I87" s="133" t="s">
        <v>99</v>
      </c>
      <c r="J87" s="121" t="s">
        <v>100</v>
      </c>
      <c r="K87" s="121" t="s">
        <v>101</v>
      </c>
      <c r="L87" s="121" t="s">
        <v>102</v>
      </c>
      <c r="M87" s="121" t="s">
        <v>103</v>
      </c>
      <c r="N87" s="121" t="s">
        <v>192</v>
      </c>
      <c r="O87" s="121" t="s">
        <v>210</v>
      </c>
      <c r="P87" s="121" t="s">
        <v>211</v>
      </c>
      <c r="Q87" s="121" t="s">
        <v>93</v>
      </c>
      <c r="R87" s="119"/>
    </row>
    <row r="88" spans="1:20">
      <c r="A88" s="147" t="str">
        <f>"Mittelwert "&amp;A87</f>
        <v>Mittelwert FFP3 mit Ventil</v>
      </c>
      <c r="B88" s="178"/>
      <c r="C88" s="179"/>
      <c r="D88" s="179"/>
      <c r="E88" s="180">
        <f t="shared" ref="E88:M88" si="28">IF(IFERROR(AVERAGE(E89:E99),0)=0,"",IFERROR(AVERAGE(E89:E99),0))</f>
        <v>3.3201999999999998</v>
      </c>
      <c r="F88" s="180">
        <f t="shared" si="28"/>
        <v>3.3201999999999998</v>
      </c>
      <c r="G88" s="180">
        <f t="shared" si="28"/>
        <v>3.3201999999999998</v>
      </c>
      <c r="H88" s="180">
        <f t="shared" si="28"/>
        <v>3.5296466666666668</v>
      </c>
      <c r="I88" s="180">
        <f t="shared" si="28"/>
        <v>3.6413722222222229</v>
      </c>
      <c r="J88" s="180">
        <f t="shared" si="28"/>
        <v>3.9174466666666667</v>
      </c>
      <c r="K88" s="180">
        <f t="shared" si="28"/>
        <v>4.2</v>
      </c>
      <c r="L88" s="180">
        <f t="shared" si="28"/>
        <v>4.2</v>
      </c>
      <c r="M88" s="180" t="str">
        <f t="shared" si="28"/>
        <v/>
      </c>
      <c r="N88" s="180">
        <f>IFERROR(AVERAGE(E88:M88),0)</f>
        <v>3.6811331944444441</v>
      </c>
      <c r="O88" s="180">
        <f>IFERROR(AVERAGE(E88:G88),0)</f>
        <v>3.3201999999999998</v>
      </c>
      <c r="P88" s="180">
        <f>IFERROR(AVERAGE(H88:M88),0)</f>
        <v>3.8976931111111113</v>
      </c>
      <c r="Q88" s="134"/>
      <c r="R88" s="119"/>
      <c r="S88" s="123"/>
    </row>
    <row r="89" spans="1:20">
      <c r="A89" s="348" t="s">
        <v>148</v>
      </c>
      <c r="B89" s="167" t="s">
        <v>52</v>
      </c>
      <c r="C89" s="168" t="s">
        <v>62</v>
      </c>
      <c r="D89" s="167" t="s">
        <v>51</v>
      </c>
      <c r="E89" s="149">
        <v>4.5999999999999996</v>
      </c>
      <c r="F89" s="149">
        <v>4.5999999999999996</v>
      </c>
      <c r="G89" s="149">
        <v>4.5999999999999996</v>
      </c>
      <c r="H89" s="171"/>
      <c r="I89" s="171"/>
      <c r="J89" s="171"/>
      <c r="K89" s="171"/>
      <c r="L89" s="135"/>
      <c r="M89" s="135"/>
      <c r="N89" s="183">
        <f t="shared" ref="N89:N99" si="29">IFERROR(AVERAGE(E89:M89),0)</f>
        <v>4.5999999999999996</v>
      </c>
      <c r="O89" s="183">
        <f>IFERROR(AVERAGE(E89:G89),0)</f>
        <v>4.5999999999999996</v>
      </c>
      <c r="P89" s="183">
        <f>IFERROR(AVERAGE(H89:M89),0)</f>
        <v>0</v>
      </c>
      <c r="Q89" s="134" t="s">
        <v>200</v>
      </c>
      <c r="R89" s="119"/>
    </row>
    <row r="90" spans="1:20">
      <c r="A90" s="348"/>
      <c r="B90" s="167" t="s">
        <v>56</v>
      </c>
      <c r="C90" s="168">
        <v>35200</v>
      </c>
      <c r="D90" s="167" t="s">
        <v>51</v>
      </c>
      <c r="E90" s="149">
        <v>0.94</v>
      </c>
      <c r="F90" s="149">
        <v>0.94</v>
      </c>
      <c r="G90" s="149">
        <v>0.94</v>
      </c>
      <c r="H90" s="171"/>
      <c r="I90" s="171"/>
      <c r="J90" s="171"/>
      <c r="K90" s="171"/>
      <c r="L90" s="135"/>
      <c r="M90" s="135"/>
      <c r="N90" s="183">
        <f>IFERROR(AVERAGE(E90:M90),0)</f>
        <v>0.94</v>
      </c>
      <c r="O90" s="183">
        <f t="shared" ref="O90:O99" si="30">IFERROR(AVERAGE(E90:G90),0)</f>
        <v>0.94</v>
      </c>
      <c r="P90" s="183">
        <f t="shared" ref="P90:P99" si="31">IFERROR(AVERAGE(H90:M90),0)</f>
        <v>0</v>
      </c>
      <c r="Q90" s="134" t="s">
        <v>200</v>
      </c>
      <c r="R90" s="119"/>
      <c r="T90" s="122"/>
    </row>
    <row r="91" spans="1:20">
      <c r="A91" s="145" t="s">
        <v>149</v>
      </c>
      <c r="B91" s="140" t="s">
        <v>132</v>
      </c>
      <c r="C91" s="169">
        <v>2505</v>
      </c>
      <c r="D91" s="140" t="s">
        <v>51</v>
      </c>
      <c r="E91" s="149">
        <v>2.2610000000000001</v>
      </c>
      <c r="F91" s="149">
        <v>2.2610000000000001</v>
      </c>
      <c r="G91" s="149">
        <v>2.2610000000000001</v>
      </c>
      <c r="H91" s="149">
        <v>2.2610000000000001</v>
      </c>
      <c r="I91" s="149">
        <v>2.2610000000000001</v>
      </c>
      <c r="J91" s="149"/>
      <c r="K91" s="136"/>
      <c r="L91" s="136"/>
      <c r="M91" s="136"/>
      <c r="N91" s="183">
        <f t="shared" si="29"/>
        <v>2.2610000000000001</v>
      </c>
      <c r="O91" s="183">
        <f t="shared" si="30"/>
        <v>2.2610000000000001</v>
      </c>
      <c r="P91" s="183">
        <f t="shared" si="31"/>
        <v>2.2610000000000001</v>
      </c>
      <c r="Q91" s="134"/>
      <c r="R91" s="119"/>
    </row>
    <row r="92" spans="1:20">
      <c r="A92" s="349" t="s">
        <v>150</v>
      </c>
      <c r="B92" s="167" t="s">
        <v>52</v>
      </c>
      <c r="C92" s="168" t="s">
        <v>169</v>
      </c>
      <c r="D92" s="167" t="s">
        <v>51</v>
      </c>
      <c r="E92" s="149"/>
      <c r="F92" s="149"/>
      <c r="G92" s="149"/>
      <c r="H92" s="149"/>
      <c r="I92" s="149">
        <v>4.2</v>
      </c>
      <c r="J92" s="149">
        <v>4.2</v>
      </c>
      <c r="K92" s="149">
        <v>4.2</v>
      </c>
      <c r="L92" s="149">
        <v>4.2</v>
      </c>
      <c r="M92" s="136"/>
      <c r="N92" s="183">
        <f t="shared" si="29"/>
        <v>4.2</v>
      </c>
      <c r="O92" s="183">
        <f t="shared" si="30"/>
        <v>0</v>
      </c>
      <c r="P92" s="183">
        <f t="shared" si="31"/>
        <v>4.2</v>
      </c>
      <c r="Q92" s="134"/>
      <c r="R92" s="119"/>
    </row>
    <row r="93" spans="1:20">
      <c r="A93" s="348"/>
      <c r="B93" s="167" t="s">
        <v>52</v>
      </c>
      <c r="C93" s="168" t="s">
        <v>62</v>
      </c>
      <c r="D93" s="167" t="s">
        <v>51</v>
      </c>
      <c r="E93" s="149">
        <v>4.2</v>
      </c>
      <c r="F93" s="149">
        <v>4.2</v>
      </c>
      <c r="G93" s="149">
        <v>4.2</v>
      </c>
      <c r="H93" s="149">
        <v>4.2</v>
      </c>
      <c r="I93" s="149">
        <v>4.2</v>
      </c>
      <c r="J93" s="149">
        <v>4.2</v>
      </c>
      <c r="K93" s="149">
        <v>4.2</v>
      </c>
      <c r="L93" s="149">
        <v>4.2</v>
      </c>
      <c r="M93" s="136"/>
      <c r="N93" s="183">
        <f t="shared" si="29"/>
        <v>4.2</v>
      </c>
      <c r="O93" s="183">
        <f t="shared" si="30"/>
        <v>4.2</v>
      </c>
      <c r="P93" s="183">
        <f t="shared" si="31"/>
        <v>4.2</v>
      </c>
      <c r="Q93" s="134"/>
      <c r="R93" s="119"/>
    </row>
    <row r="94" spans="1:20">
      <c r="A94" s="349" t="s">
        <v>151</v>
      </c>
      <c r="B94" s="140" t="s">
        <v>269</v>
      </c>
      <c r="C94" s="140" t="s">
        <v>272</v>
      </c>
      <c r="D94" s="167" t="s">
        <v>51</v>
      </c>
      <c r="E94" s="136">
        <v>4.5999999999999996</v>
      </c>
      <c r="F94" s="136">
        <v>4.5999999999999996</v>
      </c>
      <c r="G94" s="136">
        <v>4.5999999999999996</v>
      </c>
      <c r="H94" s="136">
        <v>5.4740000000000002</v>
      </c>
      <c r="I94" s="136">
        <v>5.4740000000000002</v>
      </c>
      <c r="J94" s="149">
        <v>5.4740000000000002</v>
      </c>
      <c r="K94" s="136"/>
      <c r="L94" s="136"/>
      <c r="M94" s="136"/>
      <c r="N94" s="183">
        <f t="shared" si="29"/>
        <v>5.0369999999999999</v>
      </c>
      <c r="O94" s="183">
        <f t="shared" si="30"/>
        <v>4.5999999999999996</v>
      </c>
      <c r="P94" s="183">
        <f t="shared" si="31"/>
        <v>5.4740000000000002</v>
      </c>
      <c r="Q94" s="134"/>
    </row>
    <row r="95" spans="1:20">
      <c r="A95" s="348"/>
      <c r="B95" s="140" t="s">
        <v>269</v>
      </c>
      <c r="C95" s="140" t="s">
        <v>274</v>
      </c>
      <c r="D95" s="167" t="s">
        <v>51</v>
      </c>
      <c r="E95" s="136" t="s">
        <v>221</v>
      </c>
      <c r="F95" s="136"/>
      <c r="G95" s="136"/>
      <c r="H95" s="136">
        <v>4.6000000000000005</v>
      </c>
      <c r="I95" s="136">
        <v>4.6000000000000005</v>
      </c>
      <c r="J95" s="149">
        <v>4.6000000000000005</v>
      </c>
      <c r="K95" s="136"/>
      <c r="L95" s="136"/>
      <c r="M95" s="136"/>
      <c r="N95" s="183">
        <f t="shared" ref="N95:N96" si="32">IFERROR(AVERAGE(E95:M95),0)</f>
        <v>4.6000000000000005</v>
      </c>
      <c r="O95" s="183">
        <f t="shared" ref="O95:O96" si="33">IFERROR(AVERAGE(E95:G95),0)</f>
        <v>0</v>
      </c>
      <c r="P95" s="183">
        <f t="shared" ref="P95:P96" si="34">IFERROR(AVERAGE(H95:M95),0)</f>
        <v>4.6000000000000005</v>
      </c>
      <c r="Q95" s="134"/>
    </row>
    <row r="96" spans="1:20">
      <c r="A96" s="351"/>
      <c r="B96" s="140" t="s">
        <v>275</v>
      </c>
      <c r="C96" s="140" t="s">
        <v>276</v>
      </c>
      <c r="D96" s="167" t="s">
        <v>51</v>
      </c>
      <c r="E96" s="136" t="s">
        <v>221</v>
      </c>
      <c r="F96" s="136"/>
      <c r="G96" s="136"/>
      <c r="H96" s="136">
        <v>1.1132333333333335</v>
      </c>
      <c r="I96" s="136">
        <v>1.1132333333333335</v>
      </c>
      <c r="J96" s="149">
        <v>1.1132333333333335</v>
      </c>
      <c r="K96" s="136"/>
      <c r="L96" s="136"/>
      <c r="M96" s="136"/>
      <c r="N96" s="183">
        <f t="shared" si="32"/>
        <v>1.1132333333333335</v>
      </c>
      <c r="O96" s="183">
        <f t="shared" si="33"/>
        <v>0</v>
      </c>
      <c r="P96" s="183">
        <f t="shared" si="34"/>
        <v>1.1132333333333335</v>
      </c>
      <c r="Q96" s="134"/>
    </row>
    <row r="97" spans="1:19">
      <c r="A97" s="139" t="s">
        <v>152</v>
      </c>
      <c r="B97" s="140"/>
      <c r="C97" s="140"/>
      <c r="D97" s="140"/>
      <c r="E97" s="136"/>
      <c r="F97" s="136"/>
      <c r="G97" s="136"/>
      <c r="H97" s="136"/>
      <c r="I97" s="136"/>
      <c r="J97" s="136"/>
      <c r="K97" s="136"/>
      <c r="L97" s="136"/>
      <c r="M97" s="136"/>
      <c r="N97" s="183">
        <f>IFERROR(AVERAGE(E97:M97),0)</f>
        <v>0</v>
      </c>
      <c r="O97" s="183">
        <f t="shared" si="30"/>
        <v>0</v>
      </c>
      <c r="P97" s="183">
        <f t="shared" si="31"/>
        <v>0</v>
      </c>
      <c r="Q97" s="134"/>
    </row>
    <row r="98" spans="1:19">
      <c r="A98" s="139" t="s">
        <v>153</v>
      </c>
      <c r="B98" s="141"/>
      <c r="C98" s="141"/>
      <c r="D98" s="141"/>
      <c r="E98" s="174"/>
      <c r="F98" s="174"/>
      <c r="G98" s="174"/>
      <c r="H98" s="174"/>
      <c r="I98" s="174"/>
      <c r="J98" s="174"/>
      <c r="K98" s="174"/>
      <c r="L98" s="174"/>
      <c r="M98" s="174"/>
      <c r="N98" s="183">
        <f t="shared" si="29"/>
        <v>0</v>
      </c>
      <c r="O98" s="183">
        <f t="shared" si="30"/>
        <v>0</v>
      </c>
      <c r="P98" s="183">
        <f t="shared" si="31"/>
        <v>0</v>
      </c>
      <c r="Q98" s="134"/>
    </row>
    <row r="99" spans="1:19">
      <c r="A99" s="139" t="s">
        <v>154</v>
      </c>
      <c r="B99" s="142"/>
      <c r="C99" s="140"/>
      <c r="D99" s="140"/>
      <c r="E99" s="175"/>
      <c r="F99" s="175"/>
      <c r="G99" s="175"/>
      <c r="H99" s="136"/>
      <c r="I99" s="136"/>
      <c r="J99" s="136"/>
      <c r="K99" s="136"/>
      <c r="L99" s="136"/>
      <c r="M99" s="136"/>
      <c r="N99" s="183">
        <f t="shared" si="29"/>
        <v>0</v>
      </c>
      <c r="O99" s="183">
        <f t="shared" si="30"/>
        <v>0</v>
      </c>
      <c r="P99" s="183">
        <f t="shared" si="31"/>
        <v>0</v>
      </c>
      <c r="Q99" s="134"/>
    </row>
    <row r="101" spans="1:19" ht="52">
      <c r="A101" s="181" t="s">
        <v>63</v>
      </c>
      <c r="B101" s="132" t="s">
        <v>46</v>
      </c>
      <c r="C101" s="121" t="s">
        <v>47</v>
      </c>
      <c r="D101" s="132" t="s">
        <v>48</v>
      </c>
      <c r="E101" s="121" t="s">
        <v>95</v>
      </c>
      <c r="F101" s="121" t="s">
        <v>96</v>
      </c>
      <c r="G101" s="121" t="s">
        <v>97</v>
      </c>
      <c r="H101" s="121" t="s">
        <v>98</v>
      </c>
      <c r="I101" s="133" t="s">
        <v>99</v>
      </c>
      <c r="J101" s="121" t="s">
        <v>100</v>
      </c>
      <c r="K101" s="121" t="s">
        <v>101</v>
      </c>
      <c r="L101" s="121" t="s">
        <v>102</v>
      </c>
      <c r="M101" s="121" t="s">
        <v>103</v>
      </c>
      <c r="N101" s="121" t="s">
        <v>192</v>
      </c>
      <c r="O101" s="121" t="s">
        <v>210</v>
      </c>
      <c r="P101" s="121" t="s">
        <v>211</v>
      </c>
      <c r="Q101" s="121" t="s">
        <v>93</v>
      </c>
    </row>
    <row r="102" spans="1:19">
      <c r="A102" s="147" t="str">
        <f>"Mittelwert "&amp;A101</f>
        <v>Mittelwert US-Handschuhe unsteril Latex</v>
      </c>
      <c r="B102" s="178"/>
      <c r="C102" s="179"/>
      <c r="D102" s="179"/>
      <c r="E102" s="180">
        <f t="shared" ref="E102:M102" si="35">IF(IFERROR(AVERAGE(E103:E110),0)=0,"",IFERROR(AVERAGE(E103:E110),0))</f>
        <v>2.2499999999999999E-2</v>
      </c>
      <c r="F102" s="180">
        <f t="shared" si="35"/>
        <v>2.2499999999999999E-2</v>
      </c>
      <c r="G102" s="180">
        <f t="shared" si="35"/>
        <v>2.2499999999999999E-2</v>
      </c>
      <c r="H102" s="180">
        <f t="shared" si="35"/>
        <v>4.2963333333333333E-2</v>
      </c>
      <c r="I102" s="180">
        <f t="shared" si="35"/>
        <v>4.4499999999999998E-2</v>
      </c>
      <c r="J102" s="180" t="str">
        <f t="shared" si="35"/>
        <v/>
      </c>
      <c r="K102" s="180" t="str">
        <f t="shared" si="35"/>
        <v/>
      </c>
      <c r="L102" s="180" t="str">
        <f t="shared" si="35"/>
        <v/>
      </c>
      <c r="M102" s="180" t="str">
        <f t="shared" si="35"/>
        <v/>
      </c>
      <c r="N102" s="180">
        <f>IFERROR(AVERAGE(E102:M102),0)</f>
        <v>3.0992666666666668E-2</v>
      </c>
      <c r="O102" s="180">
        <f>IFERROR(AVERAGE(E102:G102),0)</f>
        <v>2.2500000000000003E-2</v>
      </c>
      <c r="P102" s="180">
        <f>IFERROR(AVERAGE(H102:M102),0)</f>
        <v>4.3731666666666669E-2</v>
      </c>
      <c r="Q102" s="134"/>
      <c r="R102" s="119"/>
      <c r="S102" s="123"/>
    </row>
    <row r="103" spans="1:19">
      <c r="A103" s="348" t="s">
        <v>148</v>
      </c>
      <c r="B103" s="139" t="s">
        <v>137</v>
      </c>
      <c r="C103" s="155">
        <v>553303</v>
      </c>
      <c r="D103" s="139" t="s">
        <v>51</v>
      </c>
      <c r="E103" s="152">
        <v>2.2499999999999999E-2</v>
      </c>
      <c r="F103" s="152">
        <v>2.2499999999999999E-2</v>
      </c>
      <c r="G103" s="152">
        <v>2.2499999999999999E-2</v>
      </c>
      <c r="H103" s="152">
        <v>2.2499999999999999E-2</v>
      </c>
      <c r="I103" s="152"/>
      <c r="J103" s="152"/>
      <c r="K103" s="152"/>
      <c r="L103" s="152"/>
      <c r="M103" s="152"/>
      <c r="N103" s="183">
        <f t="shared" ref="N103:N110" si="36">IFERROR(AVERAGE(E103:M103),0)</f>
        <v>2.2499999999999999E-2</v>
      </c>
      <c r="O103" s="183">
        <f>IFERROR(AVERAGE(E103:G103),0)</f>
        <v>2.2500000000000003E-2</v>
      </c>
      <c r="P103" s="183">
        <f>IFERROR(AVERAGE(H103:M103),0)</f>
        <v>2.2499999999999999E-2</v>
      </c>
      <c r="Q103" s="134" t="s">
        <v>195</v>
      </c>
    </row>
    <row r="104" spans="1:19">
      <c r="A104" s="348"/>
      <c r="B104" s="139" t="s">
        <v>135</v>
      </c>
      <c r="C104" s="155" t="s">
        <v>136</v>
      </c>
      <c r="D104" s="139" t="s">
        <v>51</v>
      </c>
      <c r="E104" s="152"/>
      <c r="F104" s="152"/>
      <c r="G104" s="152"/>
      <c r="H104" s="152">
        <v>4.4499999999999998E-2</v>
      </c>
      <c r="I104" s="152">
        <v>4.4499999999999998E-2</v>
      </c>
      <c r="J104" s="177"/>
      <c r="K104" s="177"/>
      <c r="L104" s="152"/>
      <c r="M104" s="152"/>
      <c r="N104" s="183">
        <f>IFERROR(AVERAGE(E104:M104),0)</f>
        <v>4.4499999999999998E-2</v>
      </c>
      <c r="O104" s="183">
        <f t="shared" ref="O104:O110" si="37">IFERROR(AVERAGE(E104:G104),0)</f>
        <v>0</v>
      </c>
      <c r="P104" s="183">
        <f t="shared" ref="P104:P110" si="38">IFERROR(AVERAGE(H104:M104),0)</f>
        <v>4.4499999999999998E-2</v>
      </c>
      <c r="Q104" s="134" t="s">
        <v>199</v>
      </c>
    </row>
    <row r="105" spans="1:19">
      <c r="A105" s="145" t="s">
        <v>149</v>
      </c>
      <c r="B105" s="139" t="s">
        <v>138</v>
      </c>
      <c r="C105" s="155" t="s">
        <v>139</v>
      </c>
      <c r="D105" s="139" t="s">
        <v>51</v>
      </c>
      <c r="E105" s="152"/>
      <c r="F105" s="152"/>
      <c r="G105" s="152"/>
      <c r="H105" s="152">
        <v>6.1890000000000001E-2</v>
      </c>
      <c r="I105" s="152"/>
      <c r="J105" s="152"/>
      <c r="K105" s="151"/>
      <c r="L105" s="151"/>
      <c r="M105" s="151"/>
      <c r="N105" s="183">
        <f t="shared" si="36"/>
        <v>6.1890000000000001E-2</v>
      </c>
      <c r="O105" s="183">
        <f t="shared" si="37"/>
        <v>0</v>
      </c>
      <c r="P105" s="183">
        <f t="shared" si="38"/>
        <v>6.1890000000000001E-2</v>
      </c>
      <c r="Q105" s="134"/>
    </row>
    <row r="106" spans="1:19">
      <c r="A106" s="143" t="s">
        <v>150</v>
      </c>
      <c r="B106" s="139"/>
      <c r="C106" s="155"/>
      <c r="D106" s="139"/>
      <c r="E106" s="152"/>
      <c r="F106" s="152"/>
      <c r="G106" s="152"/>
      <c r="H106" s="152"/>
      <c r="I106" s="152"/>
      <c r="J106" s="152"/>
      <c r="K106" s="152"/>
      <c r="L106" s="151"/>
      <c r="M106" s="151"/>
      <c r="N106" s="183">
        <f t="shared" si="36"/>
        <v>0</v>
      </c>
      <c r="O106" s="183">
        <f t="shared" si="37"/>
        <v>0</v>
      </c>
      <c r="P106" s="183">
        <f t="shared" si="38"/>
        <v>0</v>
      </c>
      <c r="Q106" s="134" t="s">
        <v>170</v>
      </c>
    </row>
    <row r="107" spans="1:19">
      <c r="A107" s="139" t="s">
        <v>151</v>
      </c>
      <c r="B107" s="153"/>
      <c r="C107" s="153"/>
      <c r="D107" s="153"/>
      <c r="E107" s="151"/>
      <c r="F107" s="151"/>
      <c r="G107" s="151"/>
      <c r="H107" s="151"/>
      <c r="I107" s="151"/>
      <c r="J107" s="151"/>
      <c r="K107" s="151"/>
      <c r="L107" s="151"/>
      <c r="M107" s="151"/>
      <c r="N107" s="183">
        <f t="shared" si="36"/>
        <v>0</v>
      </c>
      <c r="O107" s="183">
        <f t="shared" si="37"/>
        <v>0</v>
      </c>
      <c r="P107" s="183">
        <f t="shared" si="38"/>
        <v>0</v>
      </c>
      <c r="Q107" s="134"/>
    </row>
    <row r="108" spans="1:19">
      <c r="A108" s="139" t="s">
        <v>152</v>
      </c>
      <c r="B108" s="153"/>
      <c r="C108" s="153"/>
      <c r="D108" s="153"/>
      <c r="E108" s="151"/>
      <c r="F108" s="151"/>
      <c r="G108" s="151"/>
      <c r="H108" s="151"/>
      <c r="I108" s="151"/>
      <c r="J108" s="151"/>
      <c r="K108" s="151"/>
      <c r="L108" s="151"/>
      <c r="M108" s="151"/>
      <c r="N108" s="183">
        <f t="shared" si="36"/>
        <v>0</v>
      </c>
      <c r="O108" s="183">
        <f t="shared" si="37"/>
        <v>0</v>
      </c>
      <c r="P108" s="183">
        <f t="shared" si="38"/>
        <v>0</v>
      </c>
      <c r="Q108" s="134"/>
    </row>
    <row r="109" spans="1:19">
      <c r="A109" s="139" t="s">
        <v>153</v>
      </c>
      <c r="B109" s="146"/>
      <c r="C109" s="146"/>
      <c r="D109" s="146"/>
      <c r="E109" s="172"/>
      <c r="F109" s="172"/>
      <c r="G109" s="172"/>
      <c r="H109" s="172"/>
      <c r="I109" s="172"/>
      <c r="J109" s="172"/>
      <c r="K109" s="172"/>
      <c r="L109" s="172"/>
      <c r="M109" s="172"/>
      <c r="N109" s="183">
        <f t="shared" si="36"/>
        <v>0</v>
      </c>
      <c r="O109" s="183">
        <f t="shared" si="37"/>
        <v>0</v>
      </c>
      <c r="P109" s="183">
        <f t="shared" si="38"/>
        <v>0</v>
      </c>
      <c r="Q109" s="134"/>
    </row>
    <row r="110" spans="1:19">
      <c r="A110" s="139" t="s">
        <v>154</v>
      </c>
      <c r="B110" s="154"/>
      <c r="C110" s="153"/>
      <c r="D110" s="153"/>
      <c r="E110" s="173"/>
      <c r="F110" s="173"/>
      <c r="G110" s="173"/>
      <c r="H110" s="151"/>
      <c r="I110" s="151"/>
      <c r="J110" s="151"/>
      <c r="K110" s="151"/>
      <c r="L110" s="151"/>
      <c r="M110" s="151"/>
      <c r="N110" s="183">
        <f t="shared" si="36"/>
        <v>0</v>
      </c>
      <c r="O110" s="183">
        <f t="shared" si="37"/>
        <v>0</v>
      </c>
      <c r="P110" s="183">
        <f t="shared" si="38"/>
        <v>0</v>
      </c>
      <c r="Q110" s="134"/>
    </row>
    <row r="112" spans="1:19" ht="52">
      <c r="A112" s="181" t="s">
        <v>66</v>
      </c>
      <c r="B112" s="132" t="s">
        <v>46</v>
      </c>
      <c r="C112" s="121" t="s">
        <v>47</v>
      </c>
      <c r="D112" s="132" t="s">
        <v>48</v>
      </c>
      <c r="E112" s="121" t="s">
        <v>95</v>
      </c>
      <c r="F112" s="121" t="s">
        <v>96</v>
      </c>
      <c r="G112" s="121" t="s">
        <v>97</v>
      </c>
      <c r="H112" s="121" t="s">
        <v>98</v>
      </c>
      <c r="I112" s="133" t="s">
        <v>99</v>
      </c>
      <c r="J112" s="121" t="s">
        <v>100</v>
      </c>
      <c r="K112" s="121" t="s">
        <v>101</v>
      </c>
      <c r="L112" s="121" t="s">
        <v>102</v>
      </c>
      <c r="M112" s="121" t="s">
        <v>103</v>
      </c>
      <c r="N112" s="121" t="s">
        <v>192</v>
      </c>
      <c r="O112" s="121" t="s">
        <v>210</v>
      </c>
      <c r="P112" s="121" t="s">
        <v>211</v>
      </c>
      <c r="Q112" s="121" t="s">
        <v>93</v>
      </c>
    </row>
    <row r="113" spans="1:19">
      <c r="A113" s="147" t="str">
        <f>"Mittelwert "&amp;A112</f>
        <v>Mittelwert US-Handschuhe unsteril latexfrei</v>
      </c>
      <c r="B113" s="178"/>
      <c r="C113" s="179"/>
      <c r="D113" s="179"/>
      <c r="E113" s="180">
        <f>IF(IFERROR(AVERAGE(E114:E126),0)=0,"",IFERROR(AVERAGE(E114:E126),0))</f>
        <v>2.6249999999999999E-2</v>
      </c>
      <c r="F113" s="180">
        <f t="shared" ref="F113:M113" si="39">IF(IFERROR(AVERAGE(F114:F126),0)=0,"",IFERROR(AVERAGE(F114:F126),0))</f>
        <v>2.6249999999999999E-2</v>
      </c>
      <c r="G113" s="180">
        <f t="shared" si="39"/>
        <v>2.6249999999999999E-2</v>
      </c>
      <c r="H113" s="180">
        <f t="shared" si="39"/>
        <v>2.9785555555555558E-2</v>
      </c>
      <c r="I113" s="180">
        <f t="shared" si="39"/>
        <v>2.5100000000000001E-2</v>
      </c>
      <c r="J113" s="180">
        <f t="shared" si="39"/>
        <v>2.5100000000000001E-2</v>
      </c>
      <c r="K113" s="180">
        <f t="shared" si="39"/>
        <v>2.5100000000000001E-2</v>
      </c>
      <c r="L113" s="180">
        <f t="shared" si="39"/>
        <v>3.0550000000000001E-2</v>
      </c>
      <c r="M113" s="180" t="str">
        <f t="shared" si="39"/>
        <v/>
      </c>
      <c r="N113" s="180">
        <f>IFERROR(AVERAGE(E113:M113),0)</f>
        <v>2.6798194444444447E-2</v>
      </c>
      <c r="O113" s="180">
        <f>IFERROR(AVERAGE(E113:G113),0)</f>
        <v>2.6249999999999999E-2</v>
      </c>
      <c r="P113" s="180">
        <f>IFERROR(AVERAGE(H113:M113),0)</f>
        <v>2.7127111111111112E-2</v>
      </c>
      <c r="Q113" s="134"/>
      <c r="R113" s="119"/>
      <c r="S113" s="123"/>
    </row>
    <row r="114" spans="1:19">
      <c r="A114" s="348" t="s">
        <v>148</v>
      </c>
      <c r="B114" s="167" t="s">
        <v>65</v>
      </c>
      <c r="C114" s="168">
        <v>9201120</v>
      </c>
      <c r="D114" s="167" t="s">
        <v>51</v>
      </c>
      <c r="E114" s="149"/>
      <c r="F114" s="149"/>
      <c r="G114" s="149"/>
      <c r="H114" s="149">
        <v>2.3E-2</v>
      </c>
      <c r="I114" s="149"/>
      <c r="J114" s="149"/>
      <c r="K114" s="149"/>
      <c r="L114" s="149"/>
      <c r="M114" s="149"/>
      <c r="N114" s="183">
        <f t="shared" ref="N114:N126" si="40">IFERROR(AVERAGE(E114:M114),0)</f>
        <v>2.3E-2</v>
      </c>
      <c r="O114" s="183">
        <f>IFERROR(AVERAGE(E114:G114),0)</f>
        <v>0</v>
      </c>
      <c r="P114" s="183">
        <f>IFERROR(AVERAGE(H114:M114),0)</f>
        <v>2.3E-2</v>
      </c>
      <c r="Q114" s="134"/>
    </row>
    <row r="115" spans="1:19">
      <c r="A115" s="348"/>
      <c r="B115" s="140" t="s">
        <v>140</v>
      </c>
      <c r="C115" s="169">
        <v>290419</v>
      </c>
      <c r="D115" s="167" t="s">
        <v>51</v>
      </c>
      <c r="E115" s="149">
        <v>2.1999999999999999E-2</v>
      </c>
      <c r="F115" s="149">
        <v>2.1999999999999999E-2</v>
      </c>
      <c r="G115" s="149">
        <v>2.1999999999999999E-2</v>
      </c>
      <c r="H115" s="149">
        <v>2.1999999999999999E-2</v>
      </c>
      <c r="I115" s="149"/>
      <c r="J115" s="149"/>
      <c r="K115" s="149"/>
      <c r="L115" s="149"/>
      <c r="M115" s="149"/>
      <c r="N115" s="183">
        <f>IFERROR(AVERAGE(E115:M115),0)</f>
        <v>2.1999999999999999E-2</v>
      </c>
      <c r="O115" s="183">
        <f t="shared" ref="O115:O126" si="41">IFERROR(AVERAGE(E115:G115),0)</f>
        <v>2.2000000000000002E-2</v>
      </c>
      <c r="P115" s="183">
        <f t="shared" ref="P115:P126" si="42">IFERROR(AVERAGE(H115:M115),0)</f>
        <v>2.1999999999999999E-2</v>
      </c>
      <c r="Q115" s="134" t="s">
        <v>198</v>
      </c>
    </row>
    <row r="116" spans="1:19">
      <c r="A116" s="348"/>
      <c r="B116" s="140" t="s">
        <v>141</v>
      </c>
      <c r="C116" s="169">
        <v>2705</v>
      </c>
      <c r="D116" s="167" t="s">
        <v>51</v>
      </c>
      <c r="E116" s="149"/>
      <c r="F116" s="149"/>
      <c r="G116" s="149"/>
      <c r="H116" s="149">
        <v>3.6799999999999999E-2</v>
      </c>
      <c r="I116" s="149"/>
      <c r="J116" s="149"/>
      <c r="K116" s="149"/>
      <c r="L116" s="149"/>
      <c r="M116" s="149"/>
      <c r="N116" s="183">
        <f t="shared" si="40"/>
        <v>3.6799999999999999E-2</v>
      </c>
      <c r="O116" s="183">
        <f t="shared" si="41"/>
        <v>0</v>
      </c>
      <c r="P116" s="183">
        <f t="shared" si="42"/>
        <v>3.6799999999999999E-2</v>
      </c>
      <c r="Q116" s="134"/>
    </row>
    <row r="117" spans="1:19">
      <c r="A117" s="354" t="s">
        <v>149</v>
      </c>
      <c r="B117" s="140" t="s">
        <v>64</v>
      </c>
      <c r="C117" s="169">
        <v>842196</v>
      </c>
      <c r="D117" s="140" t="s">
        <v>51</v>
      </c>
      <c r="E117" s="149">
        <v>3.1649999999999998E-2</v>
      </c>
      <c r="F117" s="149">
        <v>3.1649999999999998E-2</v>
      </c>
      <c r="G117" s="149">
        <v>3.1649999999999998E-2</v>
      </c>
      <c r="H117" s="149">
        <v>3.1649999999999998E-2</v>
      </c>
      <c r="I117" s="149"/>
      <c r="J117" s="149"/>
      <c r="K117" s="136"/>
      <c r="L117" s="136"/>
      <c r="M117" s="136"/>
      <c r="N117" s="183">
        <f t="shared" si="40"/>
        <v>3.1649999999999998E-2</v>
      </c>
      <c r="O117" s="183">
        <f t="shared" si="41"/>
        <v>3.1649999999999998E-2</v>
      </c>
      <c r="P117" s="183">
        <f t="shared" si="42"/>
        <v>3.1649999999999998E-2</v>
      </c>
      <c r="Q117" s="134"/>
    </row>
    <row r="118" spans="1:19">
      <c r="A118" s="353"/>
      <c r="B118" s="140" t="s">
        <v>138</v>
      </c>
      <c r="C118" s="140"/>
      <c r="D118" s="140"/>
      <c r="E118" s="149"/>
      <c r="F118" s="149"/>
      <c r="G118" s="149"/>
      <c r="H118" s="149">
        <v>3.662E-2</v>
      </c>
      <c r="I118" s="149"/>
      <c r="J118" s="149"/>
      <c r="K118" s="136"/>
      <c r="L118" s="136"/>
      <c r="M118" s="136"/>
      <c r="N118" s="183">
        <f t="shared" si="40"/>
        <v>3.662E-2</v>
      </c>
      <c r="O118" s="183">
        <f t="shared" si="41"/>
        <v>0</v>
      </c>
      <c r="P118" s="183">
        <f t="shared" si="42"/>
        <v>3.662E-2</v>
      </c>
      <c r="Q118" s="134"/>
    </row>
    <row r="119" spans="1:19">
      <c r="A119" s="349" t="s">
        <v>150</v>
      </c>
      <c r="B119" s="167" t="s">
        <v>64</v>
      </c>
      <c r="C119" s="168">
        <v>9421972</v>
      </c>
      <c r="D119" s="167" t="s">
        <v>51</v>
      </c>
      <c r="E119" s="149">
        <v>2.5100000000000001E-2</v>
      </c>
      <c r="F119" s="149">
        <v>2.5100000000000001E-2</v>
      </c>
      <c r="G119" s="149">
        <v>2.5100000000000001E-2</v>
      </c>
      <c r="H119" s="149">
        <v>2.5100000000000001E-2</v>
      </c>
      <c r="I119" s="149">
        <v>2.5100000000000001E-2</v>
      </c>
      <c r="J119" s="149">
        <v>2.5100000000000001E-2</v>
      </c>
      <c r="K119" s="149">
        <v>2.5100000000000001E-2</v>
      </c>
      <c r="L119" s="149">
        <v>2.5100000000000001E-2</v>
      </c>
      <c r="M119" s="136"/>
      <c r="N119" s="183">
        <f t="shared" si="40"/>
        <v>2.5100000000000004E-2</v>
      </c>
      <c r="O119" s="183">
        <f t="shared" si="41"/>
        <v>2.5100000000000001E-2</v>
      </c>
      <c r="P119" s="183">
        <f t="shared" si="42"/>
        <v>2.5100000000000001E-2</v>
      </c>
      <c r="Q119" s="134"/>
    </row>
    <row r="120" spans="1:19">
      <c r="A120" s="348"/>
      <c r="B120" s="167" t="s">
        <v>156</v>
      </c>
      <c r="C120" s="168" t="s">
        <v>171</v>
      </c>
      <c r="D120" s="167" t="s">
        <v>51</v>
      </c>
      <c r="E120" s="149"/>
      <c r="F120" s="149"/>
      <c r="G120" s="149"/>
      <c r="H120" s="149">
        <v>3.5700000000000003E-2</v>
      </c>
      <c r="I120" s="149"/>
      <c r="J120" s="149"/>
      <c r="K120" s="149"/>
      <c r="L120" s="149">
        <v>3.5999999999999997E-2</v>
      </c>
      <c r="M120" s="136"/>
      <c r="N120" s="183">
        <f t="shared" si="40"/>
        <v>3.585E-2</v>
      </c>
      <c r="O120" s="183">
        <f t="shared" si="41"/>
        <v>0</v>
      </c>
      <c r="P120" s="183">
        <f t="shared" si="42"/>
        <v>3.585E-2</v>
      </c>
      <c r="Q120" s="134"/>
    </row>
    <row r="121" spans="1:19">
      <c r="A121" s="348"/>
      <c r="B121" s="167" t="s">
        <v>172</v>
      </c>
      <c r="C121" s="168">
        <v>9203342</v>
      </c>
      <c r="D121" s="167" t="s">
        <v>51</v>
      </c>
      <c r="E121" s="149"/>
      <c r="F121" s="149"/>
      <c r="G121" s="149"/>
      <c r="H121" s="149">
        <v>2.5700000000000001E-2</v>
      </c>
      <c r="I121" s="149"/>
      <c r="J121" s="149"/>
      <c r="K121" s="149"/>
      <c r="L121" s="149"/>
      <c r="M121" s="136"/>
      <c r="N121" s="183">
        <f t="shared" si="40"/>
        <v>2.5700000000000001E-2</v>
      </c>
      <c r="O121" s="183">
        <f t="shared" si="41"/>
        <v>0</v>
      </c>
      <c r="P121" s="183">
        <f t="shared" si="42"/>
        <v>2.5700000000000001E-2</v>
      </c>
      <c r="Q121" s="134"/>
    </row>
    <row r="122" spans="1:19">
      <c r="A122" s="351"/>
      <c r="B122" s="140" t="s">
        <v>173</v>
      </c>
      <c r="C122" s="169">
        <v>3000006820</v>
      </c>
      <c r="D122" s="140" t="s">
        <v>51</v>
      </c>
      <c r="E122" s="149"/>
      <c r="F122" s="149"/>
      <c r="G122" s="149"/>
      <c r="H122" s="149">
        <v>3.15E-2</v>
      </c>
      <c r="I122" s="149"/>
      <c r="J122" s="149"/>
      <c r="K122" s="149"/>
      <c r="L122" s="149"/>
      <c r="M122" s="136"/>
      <c r="N122" s="183">
        <f t="shared" si="40"/>
        <v>3.15E-2</v>
      </c>
      <c r="O122" s="183">
        <f t="shared" si="41"/>
        <v>0</v>
      </c>
      <c r="P122" s="183">
        <f t="shared" si="42"/>
        <v>3.15E-2</v>
      </c>
      <c r="Q122" s="134"/>
    </row>
    <row r="123" spans="1:19">
      <c r="A123" s="139" t="s">
        <v>151</v>
      </c>
      <c r="B123" s="140"/>
      <c r="C123" s="140"/>
      <c r="D123" s="140"/>
      <c r="E123" s="136"/>
      <c r="F123" s="136"/>
      <c r="G123" s="136"/>
      <c r="H123" s="136"/>
      <c r="I123" s="136"/>
      <c r="J123" s="136"/>
      <c r="K123" s="136"/>
      <c r="L123" s="136"/>
      <c r="M123" s="136"/>
      <c r="N123" s="183">
        <f t="shared" si="40"/>
        <v>0</v>
      </c>
      <c r="O123" s="183">
        <f t="shared" si="41"/>
        <v>0</v>
      </c>
      <c r="P123" s="183">
        <f t="shared" si="42"/>
        <v>0</v>
      </c>
      <c r="Q123" s="134"/>
    </row>
    <row r="124" spans="1:19">
      <c r="A124" s="139" t="s">
        <v>152</v>
      </c>
      <c r="B124" s="140"/>
      <c r="C124" s="140"/>
      <c r="D124" s="140"/>
      <c r="E124" s="136"/>
      <c r="F124" s="136"/>
      <c r="G124" s="136"/>
      <c r="H124" s="136"/>
      <c r="I124" s="136"/>
      <c r="J124" s="136"/>
      <c r="K124" s="136"/>
      <c r="L124" s="136"/>
      <c r="M124" s="136"/>
      <c r="N124" s="183">
        <f t="shared" si="40"/>
        <v>0</v>
      </c>
      <c r="O124" s="183">
        <f t="shared" si="41"/>
        <v>0</v>
      </c>
      <c r="P124" s="183">
        <f t="shared" si="42"/>
        <v>0</v>
      </c>
      <c r="Q124" s="134"/>
    </row>
    <row r="125" spans="1:19">
      <c r="A125" s="139" t="s">
        <v>153</v>
      </c>
      <c r="B125" s="141"/>
      <c r="C125" s="141"/>
      <c r="D125" s="141"/>
      <c r="E125" s="174"/>
      <c r="F125" s="174"/>
      <c r="G125" s="174"/>
      <c r="H125" s="174"/>
      <c r="I125" s="174"/>
      <c r="J125" s="174"/>
      <c r="K125" s="174"/>
      <c r="L125" s="174"/>
      <c r="M125" s="174"/>
      <c r="N125" s="183">
        <f t="shared" si="40"/>
        <v>0</v>
      </c>
      <c r="O125" s="183">
        <f t="shared" si="41"/>
        <v>0</v>
      </c>
      <c r="P125" s="183">
        <f t="shared" si="42"/>
        <v>0</v>
      </c>
      <c r="Q125" s="134"/>
    </row>
    <row r="126" spans="1:19">
      <c r="A126" s="139" t="s">
        <v>154</v>
      </c>
      <c r="B126" s="142"/>
      <c r="C126" s="140"/>
      <c r="D126" s="140"/>
      <c r="E126" s="175"/>
      <c r="F126" s="175"/>
      <c r="G126" s="175"/>
      <c r="H126" s="136"/>
      <c r="I126" s="136"/>
      <c r="J126" s="136"/>
      <c r="K126" s="136"/>
      <c r="L126" s="136"/>
      <c r="M126" s="136"/>
      <c r="N126" s="183">
        <f t="shared" si="40"/>
        <v>0</v>
      </c>
      <c r="O126" s="183">
        <f t="shared" si="41"/>
        <v>0</v>
      </c>
      <c r="P126" s="183">
        <f t="shared" si="42"/>
        <v>0</v>
      </c>
      <c r="Q126" s="134"/>
    </row>
    <row r="128" spans="1:19" ht="52">
      <c r="A128" s="181" t="s">
        <v>67</v>
      </c>
      <c r="B128" s="132" t="s">
        <v>46</v>
      </c>
      <c r="C128" s="121" t="s">
        <v>47</v>
      </c>
      <c r="D128" s="132" t="s">
        <v>48</v>
      </c>
      <c r="E128" s="121" t="s">
        <v>95</v>
      </c>
      <c r="F128" s="121" t="s">
        <v>96</v>
      </c>
      <c r="G128" s="121" t="s">
        <v>97</v>
      </c>
      <c r="H128" s="121" t="s">
        <v>98</v>
      </c>
      <c r="I128" s="133" t="s">
        <v>99</v>
      </c>
      <c r="J128" s="121" t="s">
        <v>100</v>
      </c>
      <c r="K128" s="121" t="s">
        <v>101</v>
      </c>
      <c r="L128" s="121" t="s">
        <v>102</v>
      </c>
      <c r="M128" s="121" t="s">
        <v>103</v>
      </c>
      <c r="N128" s="121" t="s">
        <v>192</v>
      </c>
      <c r="O128" s="121" t="s">
        <v>210</v>
      </c>
      <c r="P128" s="121" t="s">
        <v>211</v>
      </c>
      <c r="Q128" s="121" t="s">
        <v>93</v>
      </c>
    </row>
    <row r="129" spans="1:19">
      <c r="A129" s="147" t="str">
        <f>"Mittelwert "&amp;A128</f>
        <v>Mittelwert Kittel unverstärkt</v>
      </c>
      <c r="B129" s="178"/>
      <c r="C129" s="179"/>
      <c r="D129" s="179"/>
      <c r="E129" s="180">
        <f>IF(IFERROR(AVERAGE(E130:E138),0)=0,"",IFERROR(AVERAGE(E130:E138),0))</f>
        <v>0.43120833333333336</v>
      </c>
      <c r="F129" s="180">
        <f t="shared" ref="F129:M129" si="43">IF(IFERROR(AVERAGE(F130:F138),0)=0,"",IFERROR(AVERAGE(F130:F138),0))</f>
        <v>0.43120833333333336</v>
      </c>
      <c r="G129" s="180">
        <f t="shared" si="43"/>
        <v>0.46867708206378228</v>
      </c>
      <c r="H129" s="180">
        <f t="shared" si="43"/>
        <v>0.47301543725747752</v>
      </c>
      <c r="I129" s="180">
        <f t="shared" si="43"/>
        <v>0.47301543725747752</v>
      </c>
      <c r="J129" s="180">
        <f t="shared" si="43"/>
        <v>0.50216852470897311</v>
      </c>
      <c r="K129" s="180">
        <f t="shared" si="43"/>
        <v>0.47</v>
      </c>
      <c r="L129" s="180">
        <f t="shared" si="43"/>
        <v>0.75</v>
      </c>
      <c r="M129" s="180" t="str">
        <f t="shared" si="43"/>
        <v/>
      </c>
      <c r="N129" s="180">
        <f>IFERROR(AVERAGE(E129:M129),0)</f>
        <v>0.49991164349429718</v>
      </c>
      <c r="O129" s="180">
        <f>IFERROR(AVERAGE(E129:G129),0)</f>
        <v>0.44369791624348304</v>
      </c>
      <c r="P129" s="180">
        <f>IFERROR(AVERAGE(H129:M129),0)</f>
        <v>0.53363987984478567</v>
      </c>
      <c r="Q129" s="134"/>
      <c r="R129" s="119"/>
      <c r="S129" s="123"/>
    </row>
    <row r="130" spans="1:19">
      <c r="A130" s="144" t="s">
        <v>148</v>
      </c>
      <c r="B130" s="140" t="s">
        <v>135</v>
      </c>
      <c r="C130" s="140" t="s">
        <v>142</v>
      </c>
      <c r="D130" s="167" t="s">
        <v>51</v>
      </c>
      <c r="E130" s="149">
        <v>0.19</v>
      </c>
      <c r="F130" s="149">
        <v>0.19</v>
      </c>
      <c r="G130" s="149">
        <v>0.19</v>
      </c>
      <c r="H130" s="149">
        <v>0.19</v>
      </c>
      <c r="I130" s="149">
        <v>0.19</v>
      </c>
      <c r="J130" s="149">
        <v>0.19</v>
      </c>
      <c r="K130" s="149">
        <v>0.19</v>
      </c>
      <c r="L130" s="149"/>
      <c r="M130" s="149"/>
      <c r="N130" s="183">
        <f t="shared" ref="N130:N138" si="44">IFERROR(AVERAGE(E130:M130),0)</f>
        <v>0.18999999999999997</v>
      </c>
      <c r="O130" s="183">
        <f>IFERROR(AVERAGE(E130:G130),0)</f>
        <v>0.19000000000000003</v>
      </c>
      <c r="P130" s="183">
        <f>IFERROR(AVERAGE(H130:M130),0)</f>
        <v>0.19</v>
      </c>
      <c r="Q130" s="134" t="s">
        <v>196</v>
      </c>
    </row>
    <row r="131" spans="1:19">
      <c r="A131" s="148" t="s">
        <v>149</v>
      </c>
      <c r="B131" s="140" t="s">
        <v>132</v>
      </c>
      <c r="C131" s="169">
        <v>1726</v>
      </c>
      <c r="D131" s="140" t="s">
        <v>51</v>
      </c>
      <c r="E131" s="149">
        <v>0.32724999999999999</v>
      </c>
      <c r="F131" s="149">
        <v>0.32724999999999999</v>
      </c>
      <c r="G131" s="149">
        <v>0.32724999999999999</v>
      </c>
      <c r="H131" s="149">
        <v>0.32724999999999999</v>
      </c>
      <c r="I131" s="149">
        <v>0.32724999999999999</v>
      </c>
      <c r="J131" s="149"/>
      <c r="K131" s="136"/>
      <c r="L131" s="136"/>
      <c r="M131" s="136"/>
      <c r="N131" s="183">
        <f>IFERROR(AVERAGE(E131:M131),0)</f>
        <v>0.32724999999999999</v>
      </c>
      <c r="O131" s="183">
        <f t="shared" ref="O131:O138" si="45">IFERROR(AVERAGE(E131:G131),0)</f>
        <v>0.32724999999999999</v>
      </c>
      <c r="P131" s="183">
        <f t="shared" ref="P131:P138" si="46">IFERROR(AVERAGE(H131:M131),0)</f>
        <v>0.32724999999999999</v>
      </c>
      <c r="Q131" s="134"/>
    </row>
    <row r="132" spans="1:19">
      <c r="A132" s="143" t="s">
        <v>150</v>
      </c>
      <c r="B132" s="167" t="s">
        <v>173</v>
      </c>
      <c r="C132" s="168" t="s">
        <v>174</v>
      </c>
      <c r="D132" s="167" t="s">
        <v>51</v>
      </c>
      <c r="E132" s="149">
        <v>0.75</v>
      </c>
      <c r="F132" s="149">
        <v>0.75</v>
      </c>
      <c r="G132" s="149">
        <v>0.75</v>
      </c>
      <c r="H132" s="206">
        <v>0.75</v>
      </c>
      <c r="I132" s="149">
        <v>0.75</v>
      </c>
      <c r="J132" s="149">
        <v>0.75</v>
      </c>
      <c r="K132" s="149">
        <v>0.75</v>
      </c>
      <c r="L132" s="149">
        <v>0.75</v>
      </c>
      <c r="M132" s="149"/>
      <c r="N132" s="183">
        <f t="shared" si="44"/>
        <v>0.75</v>
      </c>
      <c r="O132" s="183">
        <f t="shared" si="45"/>
        <v>0.75</v>
      </c>
      <c r="P132" s="183">
        <f t="shared" si="46"/>
        <v>0.75</v>
      </c>
      <c r="Q132" s="134" t="s">
        <v>175</v>
      </c>
    </row>
    <row r="133" spans="1:19">
      <c r="A133" s="349" t="s">
        <v>151</v>
      </c>
      <c r="B133" s="140" t="s">
        <v>277</v>
      </c>
      <c r="C133" s="140" t="s">
        <v>278</v>
      </c>
      <c r="D133" s="167" t="s">
        <v>51</v>
      </c>
      <c r="E133" s="136">
        <v>0.32</v>
      </c>
      <c r="F133" s="136">
        <v>0.32</v>
      </c>
      <c r="G133" s="136">
        <v>0.38079999999999997</v>
      </c>
      <c r="H133" s="136">
        <v>0.38079999999999997</v>
      </c>
      <c r="I133" s="136">
        <v>0.38079999999999997</v>
      </c>
      <c r="J133" s="136">
        <v>0.38079999999999997</v>
      </c>
      <c r="K133" s="136"/>
      <c r="L133" s="136"/>
      <c r="M133" s="136"/>
      <c r="N133" s="183">
        <f t="shared" si="44"/>
        <v>0.36053333333333332</v>
      </c>
      <c r="O133" s="183">
        <f t="shared" si="45"/>
        <v>0.34026666666666666</v>
      </c>
      <c r="P133" s="183">
        <f t="shared" si="46"/>
        <v>0.38079999999999997</v>
      </c>
      <c r="Q133" s="134"/>
    </row>
    <row r="134" spans="1:19">
      <c r="A134" s="348"/>
      <c r="B134" s="140" t="s">
        <v>277</v>
      </c>
      <c r="C134" s="140" t="s">
        <v>279</v>
      </c>
      <c r="D134" s="167" t="s">
        <v>51</v>
      </c>
      <c r="E134" s="136">
        <v>0.68</v>
      </c>
      <c r="F134" s="136">
        <v>0.68</v>
      </c>
      <c r="G134" s="136">
        <v>0.80933333333333335</v>
      </c>
      <c r="H134" s="136">
        <v>0.80924242424242432</v>
      </c>
      <c r="I134" s="136">
        <v>0.80924242424242432</v>
      </c>
      <c r="J134" s="136">
        <v>0.80924242424242432</v>
      </c>
      <c r="K134" s="136"/>
      <c r="L134" s="136"/>
      <c r="M134" s="136"/>
      <c r="N134" s="183">
        <f t="shared" ref="N134:N135" si="47">IFERROR(AVERAGE(E134:M134),0)</f>
        <v>0.76617676767676779</v>
      </c>
      <c r="O134" s="183">
        <f t="shared" ref="O134:O135" si="48">IFERROR(AVERAGE(E134:G134),0)</f>
        <v>0.72311111111111115</v>
      </c>
      <c r="P134" s="183">
        <f t="shared" ref="P134:P135" si="49">IFERROR(AVERAGE(H134:M134),0)</f>
        <v>0.80924242424242421</v>
      </c>
      <c r="Q134" s="134"/>
    </row>
    <row r="135" spans="1:19">
      <c r="A135" s="351"/>
      <c r="B135" s="140" t="s">
        <v>277</v>
      </c>
      <c r="C135" s="140" t="s">
        <v>280</v>
      </c>
      <c r="D135" s="167" t="s">
        <v>51</v>
      </c>
      <c r="E135" s="136">
        <v>0.32</v>
      </c>
      <c r="F135" s="136">
        <v>0.32</v>
      </c>
      <c r="G135" s="136">
        <v>0.35467915904936015</v>
      </c>
      <c r="H135" s="136">
        <v>0.38080019930244124</v>
      </c>
      <c r="I135" s="136">
        <v>0.38080019930244124</v>
      </c>
      <c r="J135" s="136">
        <v>0.38080019930244124</v>
      </c>
      <c r="K135" s="136"/>
      <c r="L135" s="136"/>
      <c r="M135" s="136"/>
      <c r="N135" s="183">
        <f t="shared" si="47"/>
        <v>0.35617995949278064</v>
      </c>
      <c r="O135" s="183">
        <f t="shared" si="48"/>
        <v>0.33155971968312009</v>
      </c>
      <c r="P135" s="183">
        <f t="shared" si="49"/>
        <v>0.38080019930244124</v>
      </c>
      <c r="Q135" s="134"/>
    </row>
    <row r="136" spans="1:19">
      <c r="A136" s="139" t="s">
        <v>152</v>
      </c>
      <c r="B136" s="140"/>
      <c r="C136" s="140"/>
      <c r="D136" s="140"/>
      <c r="E136" s="136"/>
      <c r="F136" s="136"/>
      <c r="G136" s="136"/>
      <c r="H136" s="136"/>
      <c r="I136" s="136"/>
      <c r="J136" s="136"/>
      <c r="K136" s="136"/>
      <c r="L136" s="136"/>
      <c r="M136" s="136"/>
      <c r="N136" s="183">
        <f t="shared" si="44"/>
        <v>0</v>
      </c>
      <c r="O136" s="183">
        <f t="shared" si="45"/>
        <v>0</v>
      </c>
      <c r="P136" s="183">
        <f t="shared" si="46"/>
        <v>0</v>
      </c>
      <c r="Q136" s="134"/>
    </row>
    <row r="137" spans="1:19">
      <c r="A137" s="139" t="s">
        <v>153</v>
      </c>
      <c r="B137" s="141"/>
      <c r="C137" s="141"/>
      <c r="D137" s="141"/>
      <c r="E137" s="174"/>
      <c r="F137" s="174"/>
      <c r="G137" s="174"/>
      <c r="H137" s="174"/>
      <c r="I137" s="174"/>
      <c r="J137" s="174"/>
      <c r="K137" s="174"/>
      <c r="L137" s="174"/>
      <c r="M137" s="174"/>
      <c r="N137" s="183">
        <f t="shared" si="44"/>
        <v>0</v>
      </c>
      <c r="O137" s="183">
        <f t="shared" si="45"/>
        <v>0</v>
      </c>
      <c r="P137" s="183">
        <f t="shared" si="46"/>
        <v>0</v>
      </c>
      <c r="Q137" s="134"/>
    </row>
    <row r="138" spans="1:19">
      <c r="A138" s="139" t="s">
        <v>154</v>
      </c>
      <c r="B138" s="142"/>
      <c r="C138" s="140"/>
      <c r="D138" s="140"/>
      <c r="E138" s="175"/>
      <c r="F138" s="175"/>
      <c r="G138" s="175"/>
      <c r="H138" s="136"/>
      <c r="I138" s="136"/>
      <c r="J138" s="136"/>
      <c r="K138" s="136"/>
      <c r="L138" s="136"/>
      <c r="M138" s="136"/>
      <c r="N138" s="183">
        <f t="shared" si="44"/>
        <v>0</v>
      </c>
      <c r="O138" s="183">
        <f t="shared" si="45"/>
        <v>0</v>
      </c>
      <c r="P138" s="183">
        <f t="shared" si="46"/>
        <v>0</v>
      </c>
      <c r="Q138" s="134"/>
    </row>
    <row r="140" spans="1:19" ht="52">
      <c r="A140" s="181" t="s">
        <v>68</v>
      </c>
      <c r="B140" s="132" t="s">
        <v>46</v>
      </c>
      <c r="C140" s="121" t="s">
        <v>47</v>
      </c>
      <c r="D140" s="132" t="s">
        <v>48</v>
      </c>
      <c r="E140" s="121" t="s">
        <v>95</v>
      </c>
      <c r="F140" s="121" t="s">
        <v>96</v>
      </c>
      <c r="G140" s="121" t="s">
        <v>97</v>
      </c>
      <c r="H140" s="121" t="s">
        <v>98</v>
      </c>
      <c r="I140" s="133" t="s">
        <v>99</v>
      </c>
      <c r="J140" s="121" t="s">
        <v>100</v>
      </c>
      <c r="K140" s="121" t="s">
        <v>101</v>
      </c>
      <c r="L140" s="121" t="s">
        <v>102</v>
      </c>
      <c r="M140" s="121" t="s">
        <v>103</v>
      </c>
      <c r="N140" s="121" t="s">
        <v>192</v>
      </c>
      <c r="O140" s="121" t="s">
        <v>210</v>
      </c>
      <c r="P140" s="121" t="s">
        <v>211</v>
      </c>
      <c r="Q140" s="121" t="s">
        <v>93</v>
      </c>
    </row>
    <row r="141" spans="1:19">
      <c r="A141" s="147" t="str">
        <f>"Mittelwert "&amp;A140</f>
        <v>Mittelwert Kittel verstärkt</v>
      </c>
      <c r="B141" s="178"/>
      <c r="C141" s="179"/>
      <c r="D141" s="179"/>
      <c r="E141" s="180">
        <f>IF(IFERROR(AVERAGE(E142:E149),0)=0,"",IFERROR(AVERAGE(E142:E149),0))</f>
        <v>0.3891</v>
      </c>
      <c r="F141" s="180">
        <f t="shared" ref="F141:M141" si="50">IF(IFERROR(AVERAGE(F142:F149),0)=0,"",IFERROR(AVERAGE(F142:F149),0))</f>
        <v>0.3891</v>
      </c>
      <c r="G141" s="180">
        <f t="shared" si="50"/>
        <v>0.3891</v>
      </c>
      <c r="H141" s="180">
        <f t="shared" si="50"/>
        <v>0.3891</v>
      </c>
      <c r="I141" s="180">
        <f t="shared" si="50"/>
        <v>0.65182499999999999</v>
      </c>
      <c r="J141" s="180">
        <f t="shared" si="50"/>
        <v>0.3367</v>
      </c>
      <c r="K141" s="180">
        <f t="shared" si="50"/>
        <v>0.3367</v>
      </c>
      <c r="L141" s="180">
        <f t="shared" si="50"/>
        <v>0.35339999999999999</v>
      </c>
      <c r="M141" s="180" t="str">
        <f t="shared" si="50"/>
        <v/>
      </c>
      <c r="N141" s="180">
        <f>IFERROR(AVERAGE(E141:M141),0)</f>
        <v>0.40437812500000003</v>
      </c>
      <c r="O141" s="180">
        <f>IFERROR(AVERAGE(E141:G141),0)</f>
        <v>0.3891</v>
      </c>
      <c r="P141" s="180">
        <f>IFERROR(AVERAGE(H141:M141),0)</f>
        <v>0.41354500000000005</v>
      </c>
      <c r="Q141" s="134"/>
      <c r="R141" s="119"/>
      <c r="S141" s="123"/>
    </row>
    <row r="142" spans="1:19">
      <c r="A142" s="348" t="s">
        <v>148</v>
      </c>
      <c r="B142" s="140" t="s">
        <v>135</v>
      </c>
      <c r="C142" s="169" t="s">
        <v>143</v>
      </c>
      <c r="D142" s="167" t="s">
        <v>51</v>
      </c>
      <c r="E142" s="149">
        <v>0.32</v>
      </c>
      <c r="F142" s="149">
        <v>0.32</v>
      </c>
      <c r="G142" s="149">
        <v>0.32</v>
      </c>
      <c r="H142" s="149">
        <v>0.32</v>
      </c>
      <c r="I142" s="149">
        <v>0.32</v>
      </c>
      <c r="J142" s="149">
        <v>0.32</v>
      </c>
      <c r="K142" s="149">
        <v>0.32</v>
      </c>
      <c r="L142" s="149"/>
      <c r="M142" s="149"/>
      <c r="N142" s="183">
        <f t="shared" ref="N142:N149" si="51">IFERROR(AVERAGE(E142:M142),0)</f>
        <v>0.32</v>
      </c>
      <c r="O142" s="183">
        <f>IFERROR(AVERAGE(E142:G142),0)</f>
        <v>0.32</v>
      </c>
      <c r="P142" s="183">
        <f>IFERROR(AVERAGE(H142:M142),0)</f>
        <v>0.32</v>
      </c>
      <c r="Q142" s="134" t="s">
        <v>196</v>
      </c>
    </row>
    <row r="143" spans="1:19">
      <c r="A143" s="348"/>
      <c r="B143" s="140" t="s">
        <v>141</v>
      </c>
      <c r="C143" s="169">
        <v>27926</v>
      </c>
      <c r="D143" s="167" t="s">
        <v>51</v>
      </c>
      <c r="E143" s="149"/>
      <c r="F143" s="149"/>
      <c r="G143" s="149"/>
      <c r="H143" s="149"/>
      <c r="I143" s="149">
        <v>1.44</v>
      </c>
      <c r="J143" s="149"/>
      <c r="K143" s="149"/>
      <c r="L143" s="149"/>
      <c r="M143" s="149"/>
      <c r="N143" s="183">
        <f>IFERROR(AVERAGE(E143:M143),0)</f>
        <v>1.44</v>
      </c>
      <c r="O143" s="183">
        <f t="shared" ref="O143:O149" si="52">IFERROR(AVERAGE(E143:G143),0)</f>
        <v>0</v>
      </c>
      <c r="P143" s="183">
        <f t="shared" ref="P143:P149" si="53">IFERROR(AVERAGE(H143:M143),0)</f>
        <v>1.44</v>
      </c>
      <c r="Q143" s="134"/>
    </row>
    <row r="144" spans="1:19">
      <c r="A144" s="148" t="s">
        <v>149</v>
      </c>
      <c r="B144" s="140" t="s">
        <v>132</v>
      </c>
      <c r="C144" s="169">
        <v>2545</v>
      </c>
      <c r="D144" s="140" t="s">
        <v>51</v>
      </c>
      <c r="E144" s="149">
        <v>0.49390000000000001</v>
      </c>
      <c r="F144" s="149">
        <v>0.49390000000000001</v>
      </c>
      <c r="G144" s="149">
        <v>0.49390000000000001</v>
      </c>
      <c r="H144" s="149">
        <v>0.49390000000000001</v>
      </c>
      <c r="I144" s="149">
        <v>0.49390000000000001</v>
      </c>
      <c r="J144" s="149"/>
      <c r="K144" s="136"/>
      <c r="L144" s="136"/>
      <c r="M144" s="136"/>
      <c r="N144" s="183">
        <f t="shared" si="51"/>
        <v>0.49390000000000001</v>
      </c>
      <c r="O144" s="183">
        <f t="shared" si="52"/>
        <v>0.49390000000000001</v>
      </c>
      <c r="P144" s="183">
        <f t="shared" si="53"/>
        <v>0.49390000000000001</v>
      </c>
      <c r="Q144" s="134"/>
    </row>
    <row r="145" spans="1:19">
      <c r="A145" s="143" t="s">
        <v>150</v>
      </c>
      <c r="B145" s="167" t="s">
        <v>176</v>
      </c>
      <c r="C145" s="168" t="s">
        <v>177</v>
      </c>
      <c r="D145" s="167" t="s">
        <v>51</v>
      </c>
      <c r="E145" s="149">
        <v>0.35339999999999999</v>
      </c>
      <c r="F145" s="149">
        <v>0.35339999999999999</v>
      </c>
      <c r="G145" s="149">
        <v>0.35339999999999999</v>
      </c>
      <c r="H145" s="149">
        <v>0.35339999999999999</v>
      </c>
      <c r="I145" s="149">
        <v>0.35339999999999999</v>
      </c>
      <c r="J145" s="149">
        <v>0.35339999999999999</v>
      </c>
      <c r="K145" s="149">
        <v>0.35339999999999999</v>
      </c>
      <c r="L145" s="149">
        <v>0.35339999999999999</v>
      </c>
      <c r="M145" s="149"/>
      <c r="N145" s="183">
        <f t="shared" si="51"/>
        <v>0.35340000000000005</v>
      </c>
      <c r="O145" s="183">
        <f t="shared" si="52"/>
        <v>0.35339999999999999</v>
      </c>
      <c r="P145" s="183">
        <f t="shared" si="53"/>
        <v>0.35339999999999999</v>
      </c>
      <c r="Q145" s="134" t="s">
        <v>209</v>
      </c>
    </row>
    <row r="146" spans="1:19">
      <c r="A146" s="139" t="s">
        <v>151</v>
      </c>
      <c r="B146" s="140"/>
      <c r="C146" s="140"/>
      <c r="D146" s="140"/>
      <c r="E146" s="136"/>
      <c r="F146" s="136"/>
      <c r="G146" s="136"/>
      <c r="H146" s="136"/>
      <c r="I146" s="136"/>
      <c r="J146" s="136"/>
      <c r="K146" s="136"/>
      <c r="L146" s="136"/>
      <c r="M146" s="136"/>
      <c r="N146" s="183">
        <f t="shared" si="51"/>
        <v>0</v>
      </c>
      <c r="O146" s="183">
        <f t="shared" si="52"/>
        <v>0</v>
      </c>
      <c r="P146" s="183">
        <f t="shared" si="53"/>
        <v>0</v>
      </c>
      <c r="Q146" s="134"/>
    </row>
    <row r="147" spans="1:19">
      <c r="A147" s="139" t="s">
        <v>152</v>
      </c>
      <c r="B147" s="140"/>
      <c r="C147" s="140"/>
      <c r="D147" s="140"/>
      <c r="E147" s="136"/>
      <c r="F147" s="136"/>
      <c r="G147" s="136"/>
      <c r="H147" s="136"/>
      <c r="I147" s="136"/>
      <c r="J147" s="136"/>
      <c r="K147" s="136"/>
      <c r="L147" s="136"/>
      <c r="M147" s="136"/>
      <c r="N147" s="183">
        <f t="shared" si="51"/>
        <v>0</v>
      </c>
      <c r="O147" s="183">
        <f t="shared" si="52"/>
        <v>0</v>
      </c>
      <c r="P147" s="183">
        <f t="shared" si="53"/>
        <v>0</v>
      </c>
      <c r="Q147" s="134"/>
    </row>
    <row r="148" spans="1:19">
      <c r="A148" s="139" t="s">
        <v>153</v>
      </c>
      <c r="B148" s="141"/>
      <c r="C148" s="141"/>
      <c r="D148" s="141"/>
      <c r="E148" s="174"/>
      <c r="F148" s="174"/>
      <c r="G148" s="174"/>
      <c r="H148" s="174"/>
      <c r="I148" s="174"/>
      <c r="J148" s="174"/>
      <c r="K148" s="174"/>
      <c r="L148" s="174"/>
      <c r="M148" s="174"/>
      <c r="N148" s="183">
        <f t="shared" si="51"/>
        <v>0</v>
      </c>
      <c r="O148" s="183">
        <f t="shared" si="52"/>
        <v>0</v>
      </c>
      <c r="P148" s="183">
        <f t="shared" si="53"/>
        <v>0</v>
      </c>
      <c r="Q148" s="134"/>
    </row>
    <row r="149" spans="1:19">
      <c r="A149" s="139" t="s">
        <v>154</v>
      </c>
      <c r="B149" s="142"/>
      <c r="C149" s="140"/>
      <c r="D149" s="140"/>
      <c r="E149" s="175"/>
      <c r="F149" s="175"/>
      <c r="G149" s="175"/>
      <c r="H149" s="136"/>
      <c r="I149" s="136"/>
      <c r="J149" s="136"/>
      <c r="K149" s="136"/>
      <c r="L149" s="136"/>
      <c r="M149" s="136"/>
      <c r="N149" s="183">
        <f t="shared" si="51"/>
        <v>0</v>
      </c>
      <c r="O149" s="183">
        <f t="shared" si="52"/>
        <v>0</v>
      </c>
      <c r="P149" s="183">
        <f t="shared" si="53"/>
        <v>0</v>
      </c>
      <c r="Q149" s="134"/>
    </row>
    <row r="151" spans="1:19" ht="52">
      <c r="A151" s="181" t="s">
        <v>69</v>
      </c>
      <c r="B151" s="132" t="s">
        <v>46</v>
      </c>
      <c r="C151" s="121" t="s">
        <v>47</v>
      </c>
      <c r="D151" s="132" t="s">
        <v>48</v>
      </c>
      <c r="E151" s="121" t="s">
        <v>95</v>
      </c>
      <c r="F151" s="121" t="s">
        <v>96</v>
      </c>
      <c r="G151" s="121" t="s">
        <v>97</v>
      </c>
      <c r="H151" s="121" t="s">
        <v>98</v>
      </c>
      <c r="I151" s="133" t="s">
        <v>99</v>
      </c>
      <c r="J151" s="121" t="s">
        <v>100</v>
      </c>
      <c r="K151" s="121" t="s">
        <v>101</v>
      </c>
      <c r="L151" s="121" t="s">
        <v>102</v>
      </c>
      <c r="M151" s="121" t="s">
        <v>103</v>
      </c>
      <c r="N151" s="121" t="s">
        <v>192</v>
      </c>
      <c r="O151" s="121" t="s">
        <v>210</v>
      </c>
      <c r="P151" s="121" t="s">
        <v>211</v>
      </c>
      <c r="Q151" s="121" t="s">
        <v>93</v>
      </c>
    </row>
    <row r="152" spans="1:19">
      <c r="A152" s="147" t="str">
        <f>"Mittelwert "&amp;A151</f>
        <v>Mittelwert Sichtschutz/-brille</v>
      </c>
      <c r="B152" s="178"/>
      <c r="C152" s="179"/>
      <c r="D152" s="179"/>
      <c r="E152" s="180">
        <f>IF(IFERROR(AVERAGE(E153:E165),0)=0,"",IFERROR(AVERAGE(E153:E165),0))</f>
        <v>1.4798</v>
      </c>
      <c r="F152" s="180">
        <f t="shared" ref="F152:M152" si="54">IF(IFERROR(AVERAGE(F153:F165),0)=0,"",IFERROR(AVERAGE(F153:F165),0))</f>
        <v>1.4798</v>
      </c>
      <c r="G152" s="180">
        <f t="shared" si="54"/>
        <v>1.4798</v>
      </c>
      <c r="H152" s="180">
        <f t="shared" si="54"/>
        <v>1.9198333333333337</v>
      </c>
      <c r="I152" s="180">
        <f t="shared" si="54"/>
        <v>2.6659999999999995</v>
      </c>
      <c r="J152" s="180">
        <f t="shared" si="54"/>
        <v>1.9775</v>
      </c>
      <c r="K152" s="180">
        <f t="shared" si="54"/>
        <v>2.0420000000000003</v>
      </c>
      <c r="L152" s="180">
        <f t="shared" si="54"/>
        <v>1.45</v>
      </c>
      <c r="M152" s="180" t="str">
        <f t="shared" si="54"/>
        <v/>
      </c>
      <c r="N152" s="180">
        <f>IFERROR(AVERAGE(E152:M152),0)</f>
        <v>1.8118416666666664</v>
      </c>
      <c r="O152" s="180">
        <f>IFERROR(AVERAGE(E152:G152),0)</f>
        <v>1.4798</v>
      </c>
      <c r="P152" s="180">
        <f>IFERROR(AVERAGE(H152:M152),0)</f>
        <v>2.0110666666666668</v>
      </c>
      <c r="Q152" s="134"/>
      <c r="R152" s="119"/>
      <c r="S152" s="123"/>
    </row>
    <row r="153" spans="1:19">
      <c r="A153" s="350" t="s">
        <v>148</v>
      </c>
      <c r="B153" s="153" t="s">
        <v>144</v>
      </c>
      <c r="C153" s="166">
        <v>820310</v>
      </c>
      <c r="D153" s="139" t="s">
        <v>51</v>
      </c>
      <c r="E153" s="152">
        <v>2.8</v>
      </c>
      <c r="F153" s="152">
        <v>2.8</v>
      </c>
      <c r="G153" s="152">
        <v>2.8</v>
      </c>
      <c r="H153" s="152"/>
      <c r="I153" s="152"/>
      <c r="J153" s="152"/>
      <c r="K153" s="152"/>
      <c r="L153" s="152"/>
      <c r="M153" s="152"/>
      <c r="N153" s="183">
        <f t="shared" ref="N153:N165" si="55">IFERROR(AVERAGE(E153:M153),0)</f>
        <v>2.7999999999999994</v>
      </c>
      <c r="O153" s="183">
        <f>IFERROR(AVERAGE(E153:G153),0)</f>
        <v>2.7999999999999994</v>
      </c>
      <c r="P153" s="183">
        <f>IFERROR(AVERAGE(H153:M153),0)</f>
        <v>0</v>
      </c>
      <c r="Q153" s="134" t="s">
        <v>197</v>
      </c>
    </row>
    <row r="154" spans="1:19" ht="36">
      <c r="A154" s="350"/>
      <c r="B154" s="154" t="s">
        <v>131</v>
      </c>
      <c r="C154" s="153"/>
      <c r="D154" s="153"/>
      <c r="E154" s="152"/>
      <c r="F154" s="152"/>
      <c r="G154" s="152"/>
      <c r="H154" s="152">
        <v>4.62</v>
      </c>
      <c r="I154" s="152">
        <v>4.62</v>
      </c>
      <c r="J154" s="152">
        <v>4.62</v>
      </c>
      <c r="K154" s="152">
        <v>4.62</v>
      </c>
      <c r="L154" s="152"/>
      <c r="M154" s="152"/>
      <c r="N154" s="183">
        <f>IFERROR(AVERAGE(E154:M154),0)</f>
        <v>4.62</v>
      </c>
      <c r="O154" s="183">
        <f t="shared" ref="O154:O165" si="56">IFERROR(AVERAGE(E154:G154),0)</f>
        <v>0</v>
      </c>
      <c r="P154" s="183">
        <f t="shared" ref="P154:P165" si="57">IFERROR(AVERAGE(H154:M154),0)</f>
        <v>4.62</v>
      </c>
      <c r="Q154" s="134"/>
    </row>
    <row r="155" spans="1:19">
      <c r="A155" s="352" t="s">
        <v>149</v>
      </c>
      <c r="B155" s="153" t="s">
        <v>145</v>
      </c>
      <c r="C155" s="153" t="s">
        <v>70</v>
      </c>
      <c r="D155" s="153" t="s">
        <v>51</v>
      </c>
      <c r="E155" s="152">
        <v>1.3089999999999999</v>
      </c>
      <c r="F155" s="152">
        <v>1.3089999999999999</v>
      </c>
      <c r="G155" s="152">
        <v>1.3089999999999999</v>
      </c>
      <c r="H155" s="152">
        <v>1.3089999999999999</v>
      </c>
      <c r="I155" s="152"/>
      <c r="J155" s="152"/>
      <c r="K155" s="152"/>
      <c r="L155" s="152"/>
      <c r="M155" s="152"/>
      <c r="N155" s="183">
        <f t="shared" si="55"/>
        <v>1.3089999999999999</v>
      </c>
      <c r="O155" s="183">
        <f t="shared" si="56"/>
        <v>1.3089999999999999</v>
      </c>
      <c r="P155" s="183">
        <f t="shared" si="57"/>
        <v>1.3089999999999999</v>
      </c>
      <c r="Q155" s="134"/>
    </row>
    <row r="156" spans="1:19">
      <c r="A156" s="353"/>
      <c r="B156" s="153" t="s">
        <v>146</v>
      </c>
      <c r="C156" s="153"/>
      <c r="D156" s="153"/>
      <c r="E156" s="152"/>
      <c r="F156" s="152"/>
      <c r="G156" s="152"/>
      <c r="H156" s="152"/>
      <c r="I156" s="152">
        <v>5.42</v>
      </c>
      <c r="J156" s="152"/>
      <c r="K156" s="151"/>
      <c r="L156" s="151"/>
      <c r="M156" s="151"/>
      <c r="N156" s="183">
        <f t="shared" si="55"/>
        <v>5.42</v>
      </c>
      <c r="O156" s="183">
        <f t="shared" si="56"/>
        <v>0</v>
      </c>
      <c r="P156" s="183">
        <f t="shared" si="57"/>
        <v>5.42</v>
      </c>
      <c r="Q156" s="134"/>
    </row>
    <row r="157" spans="1:19">
      <c r="A157" s="349" t="s">
        <v>150</v>
      </c>
      <c r="B157" s="139" t="s">
        <v>178</v>
      </c>
      <c r="C157" s="155" t="s">
        <v>70</v>
      </c>
      <c r="D157" s="139" t="s">
        <v>51</v>
      </c>
      <c r="E157" s="149">
        <v>1.34</v>
      </c>
      <c r="F157" s="149">
        <v>1.34</v>
      </c>
      <c r="G157" s="149">
        <v>1.34</v>
      </c>
      <c r="H157" s="149">
        <v>1.34</v>
      </c>
      <c r="I157" s="149">
        <v>1.34</v>
      </c>
      <c r="J157" s="149">
        <v>1.34</v>
      </c>
      <c r="K157" s="149">
        <v>1.34</v>
      </c>
      <c r="L157" s="149">
        <v>1.34</v>
      </c>
      <c r="M157" s="152"/>
      <c r="N157" s="183">
        <f t="shared" si="55"/>
        <v>1.34</v>
      </c>
      <c r="O157" s="183">
        <f t="shared" si="56"/>
        <v>1.34</v>
      </c>
      <c r="P157" s="183">
        <f t="shared" si="57"/>
        <v>1.34</v>
      </c>
      <c r="Q157" s="134" t="s">
        <v>207</v>
      </c>
    </row>
    <row r="158" spans="1:19">
      <c r="A158" s="348"/>
      <c r="B158" s="139" t="s">
        <v>179</v>
      </c>
      <c r="C158" s="155">
        <v>8153</v>
      </c>
      <c r="D158" s="139" t="s">
        <v>51</v>
      </c>
      <c r="E158" s="149">
        <v>1.24</v>
      </c>
      <c r="F158" s="149">
        <v>1.24</v>
      </c>
      <c r="G158" s="149">
        <v>1.24</v>
      </c>
      <c r="H158" s="149">
        <v>1.24</v>
      </c>
      <c r="I158" s="149">
        <v>1.24</v>
      </c>
      <c r="J158" s="149">
        <v>1.24</v>
      </c>
      <c r="K158" s="149">
        <v>1.24</v>
      </c>
      <c r="L158" s="149"/>
      <c r="M158" s="152"/>
      <c r="N158" s="183">
        <f t="shared" si="55"/>
        <v>1.24</v>
      </c>
      <c r="O158" s="183">
        <f t="shared" si="56"/>
        <v>1.24</v>
      </c>
      <c r="P158" s="183">
        <f t="shared" si="57"/>
        <v>1.24</v>
      </c>
      <c r="Q158" s="134" t="s">
        <v>207</v>
      </c>
    </row>
    <row r="159" spans="1:19">
      <c r="A159" s="348"/>
      <c r="B159" s="139" t="s">
        <v>180</v>
      </c>
      <c r="C159" s="155">
        <v>897904</v>
      </c>
      <c r="D159" s="139" t="s">
        <v>51</v>
      </c>
      <c r="E159" s="149"/>
      <c r="F159" s="149"/>
      <c r="G159" s="149"/>
      <c r="H159" s="149">
        <v>2.2999999999999998</v>
      </c>
      <c r="I159" s="149"/>
      <c r="J159" s="149"/>
      <c r="K159" s="149"/>
      <c r="L159" s="149"/>
      <c r="M159" s="152"/>
      <c r="N159" s="183">
        <f t="shared" si="55"/>
        <v>2.2999999999999998</v>
      </c>
      <c r="O159" s="183">
        <f t="shared" si="56"/>
        <v>0</v>
      </c>
      <c r="P159" s="183">
        <f t="shared" si="57"/>
        <v>2.2999999999999998</v>
      </c>
      <c r="Q159" s="134" t="s">
        <v>207</v>
      </c>
    </row>
    <row r="160" spans="1:19">
      <c r="A160" s="348"/>
      <c r="B160" s="153" t="s">
        <v>155</v>
      </c>
      <c r="C160" s="166">
        <v>66700</v>
      </c>
      <c r="D160" s="153" t="s">
        <v>51</v>
      </c>
      <c r="E160" s="149">
        <v>0.71</v>
      </c>
      <c r="F160" s="149">
        <v>0.71</v>
      </c>
      <c r="G160" s="149">
        <v>0.71</v>
      </c>
      <c r="H160" s="149">
        <v>0.71</v>
      </c>
      <c r="I160" s="149">
        <v>0.71</v>
      </c>
      <c r="J160" s="149">
        <v>0.71</v>
      </c>
      <c r="K160" s="149">
        <v>0.71</v>
      </c>
      <c r="L160" s="149">
        <v>0.71</v>
      </c>
      <c r="M160" s="152"/>
      <c r="N160" s="183">
        <f t="shared" si="55"/>
        <v>0.71</v>
      </c>
      <c r="O160" s="183">
        <f t="shared" si="56"/>
        <v>0.71</v>
      </c>
      <c r="P160" s="183">
        <f t="shared" si="57"/>
        <v>0.71</v>
      </c>
      <c r="Q160" s="134" t="s">
        <v>208</v>
      </c>
    </row>
    <row r="161" spans="1:17">
      <c r="A161" s="351"/>
      <c r="B161" s="153" t="s">
        <v>50</v>
      </c>
      <c r="C161" s="153" t="s">
        <v>181</v>
      </c>
      <c r="D161" s="153" t="s">
        <v>51</v>
      </c>
      <c r="E161" s="149"/>
      <c r="F161" s="149"/>
      <c r="G161" s="149"/>
      <c r="H161" s="149"/>
      <c r="I161" s="149"/>
      <c r="J161" s="149"/>
      <c r="K161" s="149">
        <v>2.2999999999999998</v>
      </c>
      <c r="L161" s="149">
        <v>2.2999999999999998</v>
      </c>
      <c r="M161" s="152"/>
      <c r="N161" s="183">
        <f t="shared" si="55"/>
        <v>2.2999999999999998</v>
      </c>
      <c r="O161" s="183">
        <f t="shared" si="56"/>
        <v>0</v>
      </c>
      <c r="P161" s="183">
        <f t="shared" si="57"/>
        <v>2.2999999999999998</v>
      </c>
      <c r="Q161" s="134" t="s">
        <v>208</v>
      </c>
    </row>
    <row r="162" spans="1:17">
      <c r="A162" s="139" t="s">
        <v>151</v>
      </c>
      <c r="B162" s="153"/>
      <c r="C162" s="153"/>
      <c r="D162" s="153"/>
      <c r="E162" s="151"/>
      <c r="F162" s="151"/>
      <c r="G162" s="151"/>
      <c r="H162" s="151"/>
      <c r="I162" s="151"/>
      <c r="J162" s="151"/>
      <c r="K162" s="151"/>
      <c r="L162" s="151"/>
      <c r="M162" s="151"/>
      <c r="N162" s="183">
        <f t="shared" si="55"/>
        <v>0</v>
      </c>
      <c r="O162" s="183">
        <f t="shared" si="56"/>
        <v>0</v>
      </c>
      <c r="P162" s="183">
        <f t="shared" si="57"/>
        <v>0</v>
      </c>
      <c r="Q162" s="134"/>
    </row>
    <row r="163" spans="1:17">
      <c r="A163" s="139" t="s">
        <v>152</v>
      </c>
      <c r="B163" s="153"/>
      <c r="C163" s="153"/>
      <c r="D163" s="153"/>
      <c r="E163" s="151"/>
      <c r="F163" s="151"/>
      <c r="G163" s="151"/>
      <c r="H163" s="151"/>
      <c r="I163" s="151"/>
      <c r="J163" s="151"/>
      <c r="K163" s="151"/>
      <c r="L163" s="151"/>
      <c r="M163" s="151"/>
      <c r="N163" s="183">
        <f t="shared" si="55"/>
        <v>0</v>
      </c>
      <c r="O163" s="183">
        <f t="shared" si="56"/>
        <v>0</v>
      </c>
      <c r="P163" s="183">
        <f t="shared" si="57"/>
        <v>0</v>
      </c>
      <c r="Q163" s="134"/>
    </row>
    <row r="164" spans="1:17">
      <c r="A164" s="139" t="s">
        <v>153</v>
      </c>
      <c r="B164" s="146"/>
      <c r="C164" s="146"/>
      <c r="D164" s="146"/>
      <c r="E164" s="172"/>
      <c r="F164" s="172"/>
      <c r="G164" s="172"/>
      <c r="H164" s="172"/>
      <c r="I164" s="172"/>
      <c r="J164" s="172"/>
      <c r="K164" s="172"/>
      <c r="L164" s="172"/>
      <c r="M164" s="172"/>
      <c r="N164" s="183">
        <f t="shared" si="55"/>
        <v>0</v>
      </c>
      <c r="O164" s="183">
        <f t="shared" si="56"/>
        <v>0</v>
      </c>
      <c r="P164" s="183">
        <f t="shared" si="57"/>
        <v>0</v>
      </c>
      <c r="Q164" s="134"/>
    </row>
    <row r="165" spans="1:17">
      <c r="A165" s="139" t="s">
        <v>154</v>
      </c>
      <c r="B165" s="154"/>
      <c r="C165" s="153"/>
      <c r="D165" s="153"/>
      <c r="E165" s="173"/>
      <c r="F165" s="173"/>
      <c r="G165" s="173"/>
      <c r="H165" s="151"/>
      <c r="I165" s="151"/>
      <c r="J165" s="151"/>
      <c r="K165" s="151"/>
      <c r="L165" s="151"/>
      <c r="M165" s="151"/>
      <c r="N165" s="183">
        <f t="shared" si="55"/>
        <v>0</v>
      </c>
      <c r="O165" s="183">
        <f t="shared" si="56"/>
        <v>0</v>
      </c>
      <c r="P165" s="183">
        <f t="shared" si="57"/>
        <v>0</v>
      </c>
      <c r="Q165" s="134"/>
    </row>
  </sheetData>
  <mergeCells count="25">
    <mergeCell ref="A67:A69"/>
    <mergeCell ref="A94:A96"/>
    <mergeCell ref="A133:A135"/>
    <mergeCell ref="A7:A8"/>
    <mergeCell ref="A9:A10"/>
    <mergeCell ref="A11:A15"/>
    <mergeCell ref="A41:A43"/>
    <mergeCell ref="A63:A66"/>
    <mergeCell ref="A46:A48"/>
    <mergeCell ref="A44:A45"/>
    <mergeCell ref="A16:A34"/>
    <mergeCell ref="A49:A53"/>
    <mergeCell ref="A92:A93"/>
    <mergeCell ref="A76:A78"/>
    <mergeCell ref="A89:A90"/>
    <mergeCell ref="A60:A61"/>
    <mergeCell ref="A103:A104"/>
    <mergeCell ref="A80:A81"/>
    <mergeCell ref="A142:A143"/>
    <mergeCell ref="A153:A154"/>
    <mergeCell ref="A157:A161"/>
    <mergeCell ref="A155:A156"/>
    <mergeCell ref="A114:A116"/>
    <mergeCell ref="A117:A118"/>
    <mergeCell ref="A119:A122"/>
  </mergeCells>
  <phoneticPr fontId="45" type="noConversion"/>
  <pageMargins left="0.7" right="0.7" top="0.78740157499999996" bottom="0.78740157499999996" header="0.3" footer="0.3"/>
  <pageSetup paperSize="9" scale="5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8DC258-1B46-434D-A684-F465A401C7B6}">
  <sheetPr>
    <tabColor theme="5"/>
    <pageSetUpPr fitToPage="1"/>
  </sheetPr>
  <dimension ref="A2:S136"/>
  <sheetViews>
    <sheetView zoomScale="85" zoomScaleNormal="85" workbookViewId="0">
      <selection activeCell="R18" sqref="R18"/>
    </sheetView>
  </sheetViews>
  <sheetFormatPr baseColWidth="10" defaultColWidth="11" defaultRowHeight="14.5"/>
  <cols>
    <col min="1" max="1" width="27" style="58" customWidth="1"/>
    <col min="2" max="2" width="14.54296875" style="58" customWidth="1"/>
    <col min="3" max="3" width="15.81640625" style="58" customWidth="1"/>
    <col min="4" max="7" width="11" style="58"/>
    <col min="8" max="8" width="12.54296875" style="58" customWidth="1"/>
    <col min="9" max="9" width="13.1796875" style="58" customWidth="1"/>
    <col min="10" max="10" width="12.1796875" style="58" customWidth="1"/>
    <col min="11" max="11" width="11" style="58"/>
    <col min="12" max="13" width="11" style="58" customWidth="1"/>
    <col min="14" max="14" width="12.81640625" style="58" customWidth="1"/>
    <col min="15" max="15" width="18.1796875" style="58" customWidth="1"/>
    <col min="16" max="16" width="17.54296875" style="58" customWidth="1"/>
    <col min="17" max="17" width="11" style="268"/>
    <col min="18" max="16384" width="11" style="58"/>
  </cols>
  <sheetData>
    <row r="2" spans="1:18" ht="18">
      <c r="A2" s="56" t="s">
        <v>292</v>
      </c>
    </row>
    <row r="3" spans="1:18">
      <c r="A3" s="58" t="s">
        <v>299</v>
      </c>
    </row>
    <row r="5" spans="1:18" ht="52">
      <c r="A5" s="102" t="s">
        <v>49</v>
      </c>
      <c r="B5" s="269" t="s">
        <v>46</v>
      </c>
      <c r="C5" s="270" t="s">
        <v>47</v>
      </c>
      <c r="D5" s="269" t="s">
        <v>48</v>
      </c>
      <c r="E5" s="270" t="s">
        <v>95</v>
      </c>
      <c r="F5" s="270" t="s">
        <v>96</v>
      </c>
      <c r="G5" s="270" t="s">
        <v>97</v>
      </c>
      <c r="H5" s="270" t="s">
        <v>98</v>
      </c>
      <c r="I5" s="271" t="s">
        <v>99</v>
      </c>
      <c r="J5" s="270" t="s">
        <v>100</v>
      </c>
      <c r="K5" s="270" t="s">
        <v>101</v>
      </c>
      <c r="L5" s="270" t="s">
        <v>102</v>
      </c>
      <c r="M5" s="270" t="s">
        <v>103</v>
      </c>
      <c r="N5" s="270" t="s">
        <v>192</v>
      </c>
      <c r="O5" s="270" t="s">
        <v>210</v>
      </c>
      <c r="P5" s="270" t="s">
        <v>211</v>
      </c>
      <c r="Q5" s="58"/>
    </row>
    <row r="6" spans="1:18">
      <c r="A6" s="272" t="str">
        <f>"Mittelwert "&amp;A5</f>
        <v>Mittelwert MNS einfach</v>
      </c>
      <c r="B6" s="273"/>
      <c r="C6" s="274"/>
      <c r="D6" s="274"/>
      <c r="E6" s="275">
        <f t="shared" ref="E6:M6" si="0">IF(IFERROR(AVERAGE(E7:E19),0)=0,"",IFERROR(AVERAGE(E7:E19),0))</f>
        <v>3.4000000000000002E-2</v>
      </c>
      <c r="F6" s="275">
        <f t="shared" si="0"/>
        <v>3.4000000000000002E-2</v>
      </c>
      <c r="G6" s="275">
        <f t="shared" si="0"/>
        <v>3.4000000000000002E-2</v>
      </c>
      <c r="H6" s="275">
        <f t="shared" si="0"/>
        <v>3.4000000000000002E-2</v>
      </c>
      <c r="I6" s="275">
        <f t="shared" si="0"/>
        <v>3.4000000000000002E-2</v>
      </c>
      <c r="J6" s="275">
        <f t="shared" si="0"/>
        <v>3.4000000000000002E-2</v>
      </c>
      <c r="K6" s="275">
        <f t="shared" si="0"/>
        <v>3.4000000000000002E-2</v>
      </c>
      <c r="L6" s="275">
        <f t="shared" si="0"/>
        <v>3.4000000000000002E-2</v>
      </c>
      <c r="M6" s="275" t="str">
        <f t="shared" si="0"/>
        <v/>
      </c>
      <c r="N6" s="275">
        <f>IFERROR(AVERAGE(E6:M6),0)</f>
        <v>3.4000000000000002E-2</v>
      </c>
      <c r="O6" s="275">
        <f>IFERROR(AVERAGE(E6:G6),0)</f>
        <v>3.4000000000000002E-2</v>
      </c>
      <c r="P6" s="275">
        <f>IFERROR(AVERAGE(H6:M6),0)</f>
        <v>3.4000000000000002E-2</v>
      </c>
      <c r="Q6" s="58"/>
      <c r="R6" s="276"/>
    </row>
    <row r="7" spans="1:18">
      <c r="A7" s="288" t="s">
        <v>49</v>
      </c>
      <c r="B7" s="289" t="s">
        <v>56</v>
      </c>
      <c r="C7" s="290">
        <v>62100</v>
      </c>
      <c r="D7" s="288" t="s">
        <v>51</v>
      </c>
      <c r="E7" s="291">
        <v>3.4000000000000002E-2</v>
      </c>
      <c r="F7" s="291">
        <v>3.4000000000000002E-2</v>
      </c>
      <c r="G7" s="291">
        <v>3.4000000000000002E-2</v>
      </c>
      <c r="H7" s="291">
        <v>3.4000000000000002E-2</v>
      </c>
      <c r="I7" s="291">
        <v>3.4000000000000002E-2</v>
      </c>
      <c r="J7" s="291">
        <v>3.4000000000000002E-2</v>
      </c>
      <c r="K7" s="291">
        <v>3.4000000000000002E-2</v>
      </c>
      <c r="L7" s="291">
        <v>3.4000000000000002E-2</v>
      </c>
      <c r="M7" s="292"/>
      <c r="N7" s="277">
        <f>IFERROR(AVERAGE(E7:M7),0)</f>
        <v>3.4000000000000002E-2</v>
      </c>
      <c r="O7" s="277">
        <f>IFERROR(AVERAGE(E7:G7),0)</f>
        <v>3.4000000000000002E-2</v>
      </c>
      <c r="P7" s="277">
        <f>IFERROR(AVERAGE(H7:M7),0)</f>
        <v>3.4000000000000002E-2</v>
      </c>
      <c r="Q7" s="58"/>
    </row>
    <row r="8" spans="1:18">
      <c r="A8" s="288"/>
      <c r="B8" s="293"/>
      <c r="C8" s="290"/>
      <c r="D8" s="289" t="s">
        <v>51</v>
      </c>
      <c r="E8" s="294"/>
      <c r="F8" s="294"/>
      <c r="G8" s="294"/>
      <c r="H8" s="291"/>
      <c r="I8" s="291"/>
      <c r="J8" s="291"/>
      <c r="K8" s="291"/>
      <c r="L8" s="292"/>
      <c r="M8" s="292"/>
      <c r="N8" s="277">
        <f>IFERROR(AVERAGE(E8:M8),0)</f>
        <v>0</v>
      </c>
      <c r="O8" s="277">
        <f t="shared" ref="O8:O18" si="1">IFERROR(AVERAGE(E8:G8),0)</f>
        <v>0</v>
      </c>
      <c r="P8" s="277">
        <f t="shared" ref="P8:P18" si="2">IFERROR(AVERAGE(H8:M8),0)</f>
        <v>0</v>
      </c>
      <c r="Q8" s="58"/>
    </row>
    <row r="9" spans="1:18">
      <c r="A9" s="288"/>
      <c r="B9" s="289"/>
      <c r="C9" s="290"/>
      <c r="D9" s="289" t="s">
        <v>51</v>
      </c>
      <c r="E9" s="291"/>
      <c r="F9" s="291"/>
      <c r="G9" s="291"/>
      <c r="H9" s="291"/>
      <c r="I9" s="291"/>
      <c r="J9" s="291"/>
      <c r="K9" s="295"/>
      <c r="L9" s="292"/>
      <c r="M9" s="292"/>
      <c r="N9" s="277">
        <f t="shared" ref="N9:N18" si="3">IFERROR(AVERAGE(E9:M9),0)</f>
        <v>0</v>
      </c>
      <c r="O9" s="277">
        <f t="shared" si="1"/>
        <v>0</v>
      </c>
      <c r="P9" s="277">
        <f t="shared" si="2"/>
        <v>0</v>
      </c>
      <c r="Q9" s="58"/>
    </row>
    <row r="10" spans="1:18">
      <c r="A10" s="288"/>
      <c r="B10" s="289"/>
      <c r="C10" s="290"/>
      <c r="D10" s="289" t="s">
        <v>51</v>
      </c>
      <c r="E10" s="291"/>
      <c r="F10" s="291"/>
      <c r="G10" s="291"/>
      <c r="H10" s="291"/>
      <c r="I10" s="291"/>
      <c r="J10" s="291"/>
      <c r="K10" s="295"/>
      <c r="L10" s="292"/>
      <c r="M10" s="292"/>
      <c r="N10" s="277">
        <f t="shared" si="3"/>
        <v>0</v>
      </c>
      <c r="O10" s="277">
        <f t="shared" si="1"/>
        <v>0</v>
      </c>
      <c r="P10" s="277">
        <f t="shared" si="2"/>
        <v>0</v>
      </c>
      <c r="Q10" s="58"/>
    </row>
    <row r="11" spans="1:18" ht="14.25" customHeight="1">
      <c r="A11" s="288"/>
      <c r="B11" s="288"/>
      <c r="C11" s="296"/>
      <c r="D11" s="288" t="s">
        <v>51</v>
      </c>
      <c r="E11" s="297"/>
      <c r="F11" s="297"/>
      <c r="G11" s="297"/>
      <c r="H11" s="297"/>
      <c r="I11" s="297"/>
      <c r="J11" s="297"/>
      <c r="K11" s="297"/>
      <c r="L11" s="297"/>
      <c r="M11" s="292"/>
      <c r="N11" s="277">
        <f t="shared" si="3"/>
        <v>0</v>
      </c>
      <c r="O11" s="277">
        <f t="shared" si="1"/>
        <v>0</v>
      </c>
      <c r="P11" s="277">
        <f t="shared" si="2"/>
        <v>0</v>
      </c>
      <c r="Q11" s="58"/>
    </row>
    <row r="12" spans="1:18">
      <c r="A12" s="288"/>
      <c r="B12" s="288"/>
      <c r="C12" s="296"/>
      <c r="D12" s="288" t="s">
        <v>51</v>
      </c>
      <c r="E12" s="297"/>
      <c r="F12" s="297"/>
      <c r="G12" s="297"/>
      <c r="H12" s="297"/>
      <c r="I12" s="297"/>
      <c r="J12" s="297"/>
      <c r="K12" s="297"/>
      <c r="L12" s="297"/>
      <c r="M12" s="292"/>
      <c r="N12" s="277">
        <f t="shared" si="3"/>
        <v>0</v>
      </c>
      <c r="O12" s="277">
        <f t="shared" si="1"/>
        <v>0</v>
      </c>
      <c r="P12" s="277">
        <f t="shared" si="2"/>
        <v>0</v>
      </c>
      <c r="Q12" s="58"/>
      <c r="R12" s="90"/>
    </row>
    <row r="13" spans="1:18">
      <c r="A13" s="288"/>
      <c r="B13" s="288"/>
      <c r="C13" s="296"/>
      <c r="D13" s="288" t="s">
        <v>51</v>
      </c>
      <c r="E13" s="297"/>
      <c r="F13" s="297"/>
      <c r="G13" s="297"/>
      <c r="H13" s="297"/>
      <c r="I13" s="297"/>
      <c r="J13" s="297"/>
      <c r="K13" s="297"/>
      <c r="L13" s="297"/>
      <c r="M13" s="292"/>
      <c r="N13" s="277">
        <f t="shared" si="3"/>
        <v>0</v>
      </c>
      <c r="O13" s="277">
        <f t="shared" si="1"/>
        <v>0</v>
      </c>
      <c r="P13" s="277">
        <f t="shared" si="2"/>
        <v>0</v>
      </c>
      <c r="Q13" s="58"/>
      <c r="R13" s="90"/>
    </row>
    <row r="14" spans="1:18">
      <c r="A14" s="288"/>
      <c r="B14" s="289"/>
      <c r="C14" s="290"/>
      <c r="D14" s="289" t="s">
        <v>51</v>
      </c>
      <c r="E14" s="297"/>
      <c r="F14" s="297"/>
      <c r="G14" s="297"/>
      <c r="H14" s="297"/>
      <c r="I14" s="297"/>
      <c r="J14" s="297"/>
      <c r="K14" s="297"/>
      <c r="L14" s="297"/>
      <c r="M14" s="292"/>
      <c r="N14" s="277">
        <f t="shared" si="3"/>
        <v>0</v>
      </c>
      <c r="O14" s="277">
        <f t="shared" si="1"/>
        <v>0</v>
      </c>
      <c r="P14" s="277">
        <f t="shared" si="2"/>
        <v>0</v>
      </c>
      <c r="Q14" s="58"/>
      <c r="R14" s="90"/>
    </row>
    <row r="15" spans="1:18">
      <c r="A15" s="288"/>
      <c r="B15" s="289"/>
      <c r="C15" s="290"/>
      <c r="D15" s="289" t="s">
        <v>51</v>
      </c>
      <c r="E15" s="297"/>
      <c r="F15" s="297"/>
      <c r="G15" s="297"/>
      <c r="H15" s="297"/>
      <c r="I15" s="297"/>
      <c r="J15" s="297"/>
      <c r="K15" s="297"/>
      <c r="L15" s="297"/>
      <c r="M15" s="292"/>
      <c r="N15" s="277">
        <f t="shared" si="3"/>
        <v>0</v>
      </c>
      <c r="O15" s="277">
        <f t="shared" si="1"/>
        <v>0</v>
      </c>
      <c r="P15" s="277">
        <f t="shared" si="2"/>
        <v>0</v>
      </c>
      <c r="Q15" s="58"/>
      <c r="R15" s="90"/>
    </row>
    <row r="16" spans="1:18">
      <c r="A16" s="288"/>
      <c r="B16" s="298"/>
      <c r="C16" s="290"/>
      <c r="D16" s="289" t="s">
        <v>51</v>
      </c>
      <c r="E16" s="297"/>
      <c r="F16" s="297"/>
      <c r="G16" s="297"/>
      <c r="H16" s="297"/>
      <c r="I16" s="297"/>
      <c r="J16" s="297"/>
      <c r="K16" s="292"/>
      <c r="L16" s="292"/>
      <c r="M16" s="292"/>
      <c r="N16" s="277">
        <f t="shared" si="3"/>
        <v>0</v>
      </c>
      <c r="O16" s="277">
        <f t="shared" si="1"/>
        <v>0</v>
      </c>
      <c r="P16" s="277">
        <f t="shared" si="2"/>
        <v>0</v>
      </c>
      <c r="Q16" s="58"/>
    </row>
    <row r="17" spans="1:18">
      <c r="A17" s="288"/>
      <c r="B17" s="289"/>
      <c r="C17" s="289"/>
      <c r="D17" s="289" t="s">
        <v>51</v>
      </c>
      <c r="E17" s="292"/>
      <c r="F17" s="292"/>
      <c r="G17" s="292"/>
      <c r="H17" s="292"/>
      <c r="I17" s="292"/>
      <c r="J17" s="292"/>
      <c r="K17" s="292"/>
      <c r="L17" s="292"/>
      <c r="M17" s="292"/>
      <c r="N17" s="277">
        <f t="shared" si="3"/>
        <v>0</v>
      </c>
      <c r="O17" s="277">
        <f t="shared" si="1"/>
        <v>0</v>
      </c>
      <c r="P17" s="277">
        <f t="shared" si="2"/>
        <v>0</v>
      </c>
      <c r="Q17" s="58"/>
    </row>
    <row r="18" spans="1:18">
      <c r="A18" s="288"/>
      <c r="B18" s="299"/>
      <c r="C18" s="299"/>
      <c r="D18" s="289" t="s">
        <v>51</v>
      </c>
      <c r="E18" s="300"/>
      <c r="F18" s="300"/>
      <c r="G18" s="300"/>
      <c r="H18" s="300"/>
      <c r="I18" s="300"/>
      <c r="J18" s="300"/>
      <c r="K18" s="300"/>
      <c r="L18" s="300"/>
      <c r="M18" s="300"/>
      <c r="N18" s="277">
        <f t="shared" si="3"/>
        <v>0</v>
      </c>
      <c r="O18" s="277">
        <f t="shared" si="1"/>
        <v>0</v>
      </c>
      <c r="P18" s="277">
        <f t="shared" si="2"/>
        <v>0</v>
      </c>
      <c r="Q18" s="58"/>
    </row>
    <row r="19" spans="1:18">
      <c r="A19" s="288"/>
      <c r="B19" s="293"/>
      <c r="C19" s="289"/>
      <c r="D19" s="289" t="s">
        <v>51</v>
      </c>
      <c r="E19" s="295"/>
      <c r="F19" s="295"/>
      <c r="G19" s="295"/>
      <c r="H19" s="292"/>
      <c r="I19" s="292"/>
      <c r="J19" s="292"/>
      <c r="K19" s="292"/>
      <c r="L19" s="292"/>
      <c r="M19" s="292"/>
      <c r="N19" s="277">
        <f>IFERROR(AVERAGE(E19:M19),0)</f>
        <v>0</v>
      </c>
      <c r="O19" s="277">
        <f>IFERROR(AVERAGE(E19:G19),0)</f>
        <v>0</v>
      </c>
      <c r="P19" s="277">
        <f>IFERROR(AVERAGE(H19:M19),0)</f>
        <v>0</v>
      </c>
      <c r="Q19" s="58"/>
      <c r="R19" s="276"/>
    </row>
    <row r="20" spans="1:18">
      <c r="A20" s="278"/>
      <c r="B20" s="279"/>
      <c r="C20" s="279"/>
      <c r="D20" s="279"/>
      <c r="E20" s="280"/>
      <c r="F20" s="280"/>
      <c r="G20" s="280"/>
      <c r="H20" s="280"/>
      <c r="I20" s="280"/>
      <c r="J20" s="280"/>
      <c r="K20" s="280"/>
      <c r="L20" s="281"/>
      <c r="M20" s="281"/>
      <c r="N20" s="281"/>
      <c r="O20" s="281"/>
      <c r="P20" s="281"/>
      <c r="Q20" s="58"/>
    </row>
    <row r="21" spans="1:18" ht="52">
      <c r="A21" s="282" t="s">
        <v>54</v>
      </c>
      <c r="B21" s="269" t="s">
        <v>46</v>
      </c>
      <c r="C21" s="270" t="s">
        <v>47</v>
      </c>
      <c r="D21" s="269" t="s">
        <v>48</v>
      </c>
      <c r="E21" s="270" t="s">
        <v>95</v>
      </c>
      <c r="F21" s="270" t="s">
        <v>96</v>
      </c>
      <c r="G21" s="270" t="s">
        <v>97</v>
      </c>
      <c r="H21" s="270" t="s">
        <v>98</v>
      </c>
      <c r="I21" s="271" t="s">
        <v>99</v>
      </c>
      <c r="J21" s="270" t="s">
        <v>100</v>
      </c>
      <c r="K21" s="270" t="s">
        <v>101</v>
      </c>
      <c r="L21" s="270" t="s">
        <v>102</v>
      </c>
      <c r="M21" s="270" t="s">
        <v>103</v>
      </c>
      <c r="N21" s="270" t="s">
        <v>192</v>
      </c>
      <c r="O21" s="270" t="s">
        <v>210</v>
      </c>
      <c r="P21" s="270" t="s">
        <v>211</v>
      </c>
      <c r="Q21" s="58"/>
    </row>
    <row r="22" spans="1:18">
      <c r="A22" s="272" t="str">
        <f>"Mittelwert "&amp;A21</f>
        <v>Mittelwert FFP2 ohne Ventil</v>
      </c>
      <c r="B22" s="273"/>
      <c r="C22" s="274"/>
      <c r="D22" s="274"/>
      <c r="E22" s="275">
        <f t="shared" ref="E22:M22" si="4">IF(IFERROR(AVERAGE(E23:E32),0)=0,"",IFERROR(AVERAGE(E23:E32),0))</f>
        <v>1.65</v>
      </c>
      <c r="F22" s="275">
        <f t="shared" si="4"/>
        <v>1.65</v>
      </c>
      <c r="G22" s="275">
        <f t="shared" si="4"/>
        <v>1.65</v>
      </c>
      <c r="H22" s="275">
        <f t="shared" si="4"/>
        <v>1.65</v>
      </c>
      <c r="I22" s="275">
        <f t="shared" si="4"/>
        <v>1.65</v>
      </c>
      <c r="J22" s="275">
        <f t="shared" si="4"/>
        <v>1.65</v>
      </c>
      <c r="K22" s="275">
        <f t="shared" si="4"/>
        <v>1.65</v>
      </c>
      <c r="L22" s="275">
        <f t="shared" si="4"/>
        <v>1.65</v>
      </c>
      <c r="M22" s="275" t="str">
        <f t="shared" si="4"/>
        <v/>
      </c>
      <c r="N22" s="275">
        <f>IFERROR(AVERAGE(E22:M22),0)</f>
        <v>1.6500000000000001</v>
      </c>
      <c r="O22" s="275">
        <f>IFERROR(AVERAGE(E22:G22),0)</f>
        <v>1.6499999999999997</v>
      </c>
      <c r="P22" s="275">
        <f>IFERROR(AVERAGE(H22:M22),0)</f>
        <v>1.65</v>
      </c>
      <c r="Q22" s="58"/>
      <c r="R22" s="276"/>
    </row>
    <row r="23" spans="1:18">
      <c r="A23" s="288" t="s">
        <v>291</v>
      </c>
      <c r="B23" s="301"/>
      <c r="C23" s="302"/>
      <c r="D23" s="301" t="s">
        <v>51</v>
      </c>
      <c r="E23" s="297">
        <v>1.65</v>
      </c>
      <c r="F23" s="297">
        <v>1.65</v>
      </c>
      <c r="G23" s="297">
        <v>1.65</v>
      </c>
      <c r="H23" s="297">
        <v>1.65</v>
      </c>
      <c r="I23" s="297">
        <v>1.65</v>
      </c>
      <c r="J23" s="297">
        <v>1.65</v>
      </c>
      <c r="K23" s="297">
        <v>1.65</v>
      </c>
      <c r="L23" s="297">
        <v>1.65</v>
      </c>
      <c r="M23" s="303"/>
      <c r="N23" s="277">
        <f t="shared" ref="N23:N32" si="5">IFERROR(AVERAGE(E23:M23),0)</f>
        <v>1.6500000000000001</v>
      </c>
      <c r="O23" s="277">
        <f>IFERROR(AVERAGE(E23:G23),0)</f>
        <v>1.6499999999999997</v>
      </c>
      <c r="P23" s="277">
        <f>IFERROR(AVERAGE(H23:M23),0)</f>
        <v>1.65</v>
      </c>
      <c r="Q23" s="58"/>
    </row>
    <row r="24" spans="1:18">
      <c r="A24" s="288"/>
      <c r="B24" s="301"/>
      <c r="C24" s="302"/>
      <c r="D24" s="301" t="s">
        <v>51</v>
      </c>
      <c r="E24" s="297"/>
      <c r="F24" s="297"/>
      <c r="G24" s="297"/>
      <c r="H24" s="297"/>
      <c r="I24" s="297"/>
      <c r="J24" s="297"/>
      <c r="K24" s="297"/>
      <c r="L24" s="303"/>
      <c r="M24" s="303"/>
      <c r="N24" s="277">
        <f>IFERROR(AVERAGE(E24:M24),0)</f>
        <v>0</v>
      </c>
      <c r="O24" s="277">
        <f t="shared" ref="O24:O32" si="6">IFERROR(AVERAGE(E24:G24),0)</f>
        <v>0</v>
      </c>
      <c r="P24" s="277">
        <f t="shared" ref="P24:P32" si="7">IFERROR(AVERAGE(H24:M24),0)</f>
        <v>0</v>
      </c>
      <c r="Q24" s="58"/>
    </row>
    <row r="25" spans="1:18">
      <c r="A25" s="288"/>
      <c r="B25" s="304"/>
      <c r="C25" s="305"/>
      <c r="D25" s="301" t="s">
        <v>51</v>
      </c>
      <c r="E25" s="306"/>
      <c r="F25" s="306"/>
      <c r="G25" s="306"/>
      <c r="H25" s="297"/>
      <c r="I25" s="297"/>
      <c r="J25" s="297"/>
      <c r="K25" s="297"/>
      <c r="L25" s="303"/>
      <c r="M25" s="303"/>
      <c r="N25" s="277">
        <f t="shared" si="5"/>
        <v>0</v>
      </c>
      <c r="O25" s="277">
        <f t="shared" si="6"/>
        <v>0</v>
      </c>
      <c r="P25" s="277">
        <f t="shared" si="7"/>
        <v>0</v>
      </c>
      <c r="Q25" s="58"/>
    </row>
    <row r="26" spans="1:18">
      <c r="A26" s="288"/>
      <c r="B26" s="307"/>
      <c r="C26" s="305"/>
      <c r="D26" s="307" t="s">
        <v>51</v>
      </c>
      <c r="E26" s="297"/>
      <c r="F26" s="297"/>
      <c r="G26" s="297"/>
      <c r="H26" s="297"/>
      <c r="I26" s="297"/>
      <c r="J26" s="297"/>
      <c r="K26" s="303"/>
      <c r="L26" s="303"/>
      <c r="M26" s="303"/>
      <c r="N26" s="277">
        <f t="shared" si="5"/>
        <v>0</v>
      </c>
      <c r="O26" s="277">
        <f t="shared" si="6"/>
        <v>0</v>
      </c>
      <c r="P26" s="277">
        <f t="shared" si="7"/>
        <v>0</v>
      </c>
      <c r="Q26" s="58"/>
    </row>
    <row r="27" spans="1:18">
      <c r="A27" s="288"/>
      <c r="B27" s="307"/>
      <c r="C27" s="305"/>
      <c r="D27" s="307" t="s">
        <v>51</v>
      </c>
      <c r="E27" s="297"/>
      <c r="F27" s="297"/>
      <c r="G27" s="297"/>
      <c r="H27" s="297"/>
      <c r="I27" s="297"/>
      <c r="J27" s="297"/>
      <c r="K27" s="303"/>
      <c r="L27" s="303"/>
      <c r="M27" s="303"/>
      <c r="N27" s="277">
        <f t="shared" si="5"/>
        <v>0</v>
      </c>
      <c r="O27" s="277">
        <f t="shared" si="6"/>
        <v>0</v>
      </c>
      <c r="P27" s="277">
        <f t="shared" si="7"/>
        <v>0</v>
      </c>
      <c r="Q27" s="58"/>
    </row>
    <row r="28" spans="1:18">
      <c r="A28" s="288"/>
      <c r="B28" s="301"/>
      <c r="C28" s="302"/>
      <c r="D28" s="301" t="s">
        <v>51</v>
      </c>
      <c r="E28" s="308"/>
      <c r="F28" s="308"/>
      <c r="G28" s="308"/>
      <c r="H28" s="308"/>
      <c r="I28" s="308"/>
      <c r="J28" s="308"/>
      <c r="K28" s="308"/>
      <c r="L28" s="308"/>
      <c r="M28" s="303"/>
      <c r="N28" s="277">
        <f t="shared" si="5"/>
        <v>0</v>
      </c>
      <c r="O28" s="277">
        <f t="shared" si="6"/>
        <v>0</v>
      </c>
      <c r="P28" s="277">
        <f t="shared" si="7"/>
        <v>0</v>
      </c>
      <c r="Q28" s="58"/>
    </row>
    <row r="29" spans="1:18">
      <c r="A29" s="288"/>
      <c r="B29" s="301"/>
      <c r="C29" s="302"/>
      <c r="D29" s="301" t="s">
        <v>51</v>
      </c>
      <c r="E29" s="308"/>
      <c r="F29" s="308"/>
      <c r="G29" s="308"/>
      <c r="H29" s="308"/>
      <c r="I29" s="308"/>
      <c r="J29" s="308"/>
      <c r="K29" s="308"/>
      <c r="L29" s="308"/>
      <c r="M29" s="303"/>
      <c r="N29" s="277">
        <f t="shared" si="5"/>
        <v>0</v>
      </c>
      <c r="O29" s="277">
        <f t="shared" si="6"/>
        <v>0</v>
      </c>
      <c r="P29" s="277">
        <f t="shared" si="7"/>
        <v>0</v>
      </c>
      <c r="Q29" s="58"/>
    </row>
    <row r="30" spans="1:18">
      <c r="A30" s="288"/>
      <c r="B30" s="301"/>
      <c r="C30" s="302"/>
      <c r="D30" s="301" t="s">
        <v>51</v>
      </c>
      <c r="E30" s="308"/>
      <c r="F30" s="308"/>
      <c r="G30" s="308"/>
      <c r="H30" s="303"/>
      <c r="I30" s="303"/>
      <c r="J30" s="308"/>
      <c r="K30" s="308"/>
      <c r="L30" s="308"/>
      <c r="M30" s="303"/>
      <c r="N30" s="277">
        <f t="shared" si="5"/>
        <v>0</v>
      </c>
      <c r="O30" s="277">
        <f t="shared" si="6"/>
        <v>0</v>
      </c>
      <c r="P30" s="277">
        <f t="shared" si="7"/>
        <v>0</v>
      </c>
      <c r="Q30" s="58"/>
    </row>
    <row r="31" spans="1:18">
      <c r="A31" s="288"/>
      <c r="B31" s="301"/>
      <c r="C31" s="307"/>
      <c r="D31" s="301" t="s">
        <v>51</v>
      </c>
      <c r="E31" s="308"/>
      <c r="F31" s="308"/>
      <c r="G31" s="303"/>
      <c r="H31" s="303"/>
      <c r="I31" s="303"/>
      <c r="J31" s="303"/>
      <c r="K31" s="303"/>
      <c r="L31" s="303"/>
      <c r="M31" s="303"/>
      <c r="N31" s="277">
        <f t="shared" si="5"/>
        <v>0</v>
      </c>
      <c r="O31" s="277">
        <f t="shared" si="6"/>
        <v>0</v>
      </c>
      <c r="P31" s="277">
        <f t="shared" si="7"/>
        <v>0</v>
      </c>
      <c r="Q31" s="58"/>
    </row>
    <row r="32" spans="1:18">
      <c r="A32" s="288"/>
      <c r="B32" s="301"/>
      <c r="C32" s="307"/>
      <c r="D32" s="301" t="s">
        <v>51</v>
      </c>
      <c r="E32" s="308"/>
      <c r="F32" s="308"/>
      <c r="G32" s="303"/>
      <c r="H32" s="303" t="s">
        <v>221</v>
      </c>
      <c r="I32" s="303" t="s">
        <v>221</v>
      </c>
      <c r="J32" s="303" t="s">
        <v>221</v>
      </c>
      <c r="K32" s="303"/>
      <c r="L32" s="303"/>
      <c r="M32" s="303"/>
      <c r="N32" s="277">
        <f t="shared" si="5"/>
        <v>0</v>
      </c>
      <c r="O32" s="277">
        <f t="shared" si="6"/>
        <v>0</v>
      </c>
      <c r="P32" s="277">
        <f t="shared" si="7"/>
        <v>0</v>
      </c>
      <c r="Q32" s="58"/>
    </row>
    <row r="33" spans="1:18">
      <c r="A33" s="278"/>
      <c r="B33" s="283"/>
      <c r="C33" s="283"/>
      <c r="D33" s="283"/>
      <c r="E33" s="283"/>
      <c r="F33" s="283"/>
      <c r="G33" s="283"/>
      <c r="H33" s="283"/>
      <c r="I33" s="283"/>
      <c r="J33" s="283"/>
      <c r="K33" s="283"/>
      <c r="L33" s="283"/>
      <c r="M33" s="283"/>
      <c r="N33" s="65"/>
      <c r="O33" s="65"/>
      <c r="P33" s="65"/>
      <c r="Q33" s="58"/>
    </row>
    <row r="34" spans="1:18" ht="52">
      <c r="A34" s="282" t="s">
        <v>57</v>
      </c>
      <c r="B34" s="269" t="s">
        <v>46</v>
      </c>
      <c r="C34" s="270" t="s">
        <v>47</v>
      </c>
      <c r="D34" s="269" t="s">
        <v>48</v>
      </c>
      <c r="E34" s="270" t="s">
        <v>95</v>
      </c>
      <c r="F34" s="270" t="s">
        <v>96</v>
      </c>
      <c r="G34" s="270" t="s">
        <v>97</v>
      </c>
      <c r="H34" s="270" t="s">
        <v>98</v>
      </c>
      <c r="I34" s="271" t="s">
        <v>99</v>
      </c>
      <c r="J34" s="270" t="s">
        <v>100</v>
      </c>
      <c r="K34" s="270" t="s">
        <v>101</v>
      </c>
      <c r="L34" s="270" t="s">
        <v>102</v>
      </c>
      <c r="M34" s="270" t="s">
        <v>103</v>
      </c>
      <c r="N34" s="270" t="s">
        <v>192</v>
      </c>
      <c r="O34" s="270" t="s">
        <v>210</v>
      </c>
      <c r="P34" s="270" t="s">
        <v>211</v>
      </c>
      <c r="Q34" s="58"/>
    </row>
    <row r="35" spans="1:18">
      <c r="A35" s="272" t="str">
        <f>"Mittelwert "&amp;A34</f>
        <v>Mittelwert FFP2 mit Ventil</v>
      </c>
      <c r="B35" s="273"/>
      <c r="C35" s="274"/>
      <c r="D35" s="274"/>
      <c r="E35" s="275">
        <f t="shared" ref="E35:M35" si="8">IF(IFERROR(AVERAGE(E36:E45),0)=0,"",IFERROR(AVERAGE(E36:E45),0))</f>
        <v>2.2599999999999998</v>
      </c>
      <c r="F35" s="275">
        <f t="shared" si="8"/>
        <v>2.2599999999999998</v>
      </c>
      <c r="G35" s="275">
        <f t="shared" si="8"/>
        <v>2.2599999999999998</v>
      </c>
      <c r="H35" s="275">
        <f t="shared" si="8"/>
        <v>2.2599999999999998</v>
      </c>
      <c r="I35" s="275">
        <f t="shared" si="8"/>
        <v>2.2599999999999998</v>
      </c>
      <c r="J35" s="275">
        <f t="shared" si="8"/>
        <v>2.2599999999999998</v>
      </c>
      <c r="K35" s="275">
        <f t="shared" si="8"/>
        <v>2.2599999999999998</v>
      </c>
      <c r="L35" s="275">
        <f t="shared" si="8"/>
        <v>2.2599999999999998</v>
      </c>
      <c r="M35" s="275" t="str">
        <f t="shared" si="8"/>
        <v/>
      </c>
      <c r="N35" s="275">
        <f>IFERROR(AVERAGE(E35:M35),0)</f>
        <v>2.2599999999999998</v>
      </c>
      <c r="O35" s="275">
        <f>IFERROR(AVERAGE(E35:G35),0)</f>
        <v>2.2599999999999998</v>
      </c>
      <c r="P35" s="275">
        <f>IFERROR(AVERAGE(H35:M35),0)</f>
        <v>2.2599999999999998</v>
      </c>
      <c r="Q35" s="58"/>
      <c r="R35" s="276"/>
    </row>
    <row r="36" spans="1:18">
      <c r="A36" s="288" t="s">
        <v>57</v>
      </c>
      <c r="B36" s="301" t="s">
        <v>52</v>
      </c>
      <c r="C36" s="302" t="s">
        <v>58</v>
      </c>
      <c r="D36" s="301" t="s">
        <v>51</v>
      </c>
      <c r="E36" s="297">
        <v>2.2599999999999998</v>
      </c>
      <c r="F36" s="297">
        <v>2.2599999999999998</v>
      </c>
      <c r="G36" s="297">
        <v>2.2599999999999998</v>
      </c>
      <c r="H36" s="297">
        <v>2.2599999999999998</v>
      </c>
      <c r="I36" s="297">
        <v>2.2599999999999998</v>
      </c>
      <c r="J36" s="297">
        <v>2.2599999999999998</v>
      </c>
      <c r="K36" s="297">
        <v>2.2599999999999998</v>
      </c>
      <c r="L36" s="297">
        <v>2.2599999999999998</v>
      </c>
      <c r="M36" s="303"/>
      <c r="N36" s="277">
        <f t="shared" ref="N36:N44" si="9">IFERROR(AVERAGE(E36:M36),0)</f>
        <v>2.2599999999999998</v>
      </c>
      <c r="O36" s="277">
        <f>IFERROR(AVERAGE(E36:G36),0)</f>
        <v>2.2599999999999998</v>
      </c>
      <c r="P36" s="277">
        <f>IFERROR(AVERAGE(H36:M36),0)</f>
        <v>2.2599999999999998</v>
      </c>
      <c r="Q36" s="58"/>
    </row>
    <row r="37" spans="1:18">
      <c r="A37" s="288"/>
      <c r="B37" s="301"/>
      <c r="C37" s="302"/>
      <c r="D37" s="301" t="s">
        <v>51</v>
      </c>
      <c r="E37" s="297"/>
      <c r="F37" s="297"/>
      <c r="G37" s="297"/>
      <c r="H37" s="297"/>
      <c r="I37" s="309"/>
      <c r="J37" s="309"/>
      <c r="K37" s="309"/>
      <c r="L37" s="310"/>
      <c r="M37" s="310"/>
      <c r="N37" s="277">
        <f>IFERROR(AVERAGE(E37:M37),0)</f>
        <v>0</v>
      </c>
      <c r="O37" s="277">
        <f t="shared" ref="O37:O44" si="10">IFERROR(AVERAGE(E37:G37),0)</f>
        <v>0</v>
      </c>
      <c r="P37" s="277">
        <f t="shared" ref="P37:P44" si="11">IFERROR(AVERAGE(H37:M37),0)</f>
        <v>0</v>
      </c>
      <c r="Q37" s="58"/>
    </row>
    <row r="38" spans="1:18">
      <c r="A38" s="288"/>
      <c r="B38" s="307"/>
      <c r="C38" s="305"/>
      <c r="D38" s="301" t="s">
        <v>51</v>
      </c>
      <c r="E38" s="297"/>
      <c r="F38" s="297"/>
      <c r="G38" s="297"/>
      <c r="H38" s="297"/>
      <c r="I38" s="311"/>
      <c r="J38" s="297"/>
      <c r="K38" s="303"/>
      <c r="L38" s="303"/>
      <c r="M38" s="303"/>
      <c r="N38" s="277">
        <f t="shared" si="9"/>
        <v>0</v>
      </c>
      <c r="O38" s="277">
        <f t="shared" si="10"/>
        <v>0</v>
      </c>
      <c r="P38" s="277">
        <f t="shared" si="11"/>
        <v>0</v>
      </c>
      <c r="Q38" s="58"/>
    </row>
    <row r="39" spans="1:18">
      <c r="A39" s="288"/>
      <c r="B39" s="301"/>
      <c r="C39" s="302"/>
      <c r="D39" s="301" t="s">
        <v>51</v>
      </c>
      <c r="E39" s="311"/>
      <c r="F39" s="311"/>
      <c r="G39" s="311"/>
      <c r="H39" s="311"/>
      <c r="I39" s="311"/>
      <c r="J39" s="311"/>
      <c r="K39" s="311"/>
      <c r="L39" s="311"/>
      <c r="M39" s="303"/>
      <c r="N39" s="277">
        <f t="shared" si="9"/>
        <v>0</v>
      </c>
      <c r="O39" s="277">
        <f t="shared" si="10"/>
        <v>0</v>
      </c>
      <c r="P39" s="277">
        <f t="shared" si="11"/>
        <v>0</v>
      </c>
      <c r="Q39" s="58"/>
    </row>
    <row r="40" spans="1:18">
      <c r="A40" s="288"/>
      <c r="B40" s="301"/>
      <c r="C40" s="302"/>
      <c r="D40" s="301" t="s">
        <v>51</v>
      </c>
      <c r="E40" s="311"/>
      <c r="F40" s="311"/>
      <c r="G40" s="311"/>
      <c r="H40" s="311"/>
      <c r="I40" s="311"/>
      <c r="J40" s="311"/>
      <c r="K40" s="311"/>
      <c r="L40" s="311"/>
      <c r="M40" s="303"/>
      <c r="N40" s="277">
        <f t="shared" si="9"/>
        <v>0</v>
      </c>
      <c r="O40" s="277">
        <f t="shared" si="10"/>
        <v>0</v>
      </c>
      <c r="P40" s="277">
        <f t="shared" si="11"/>
        <v>0</v>
      </c>
      <c r="Q40" s="58"/>
    </row>
    <row r="41" spans="1:18">
      <c r="A41" s="288"/>
      <c r="B41" s="301"/>
      <c r="C41" s="302"/>
      <c r="D41" s="301" t="s">
        <v>51</v>
      </c>
      <c r="E41" s="311"/>
      <c r="F41" s="311"/>
      <c r="G41" s="311"/>
      <c r="H41" s="311"/>
      <c r="I41" s="311"/>
      <c r="J41" s="311"/>
      <c r="K41" s="311"/>
      <c r="L41" s="311"/>
      <c r="M41" s="303"/>
      <c r="N41" s="277">
        <f t="shared" si="9"/>
        <v>0</v>
      </c>
      <c r="O41" s="277">
        <f t="shared" si="10"/>
        <v>0</v>
      </c>
      <c r="P41" s="277">
        <f t="shared" si="11"/>
        <v>0</v>
      </c>
      <c r="Q41" s="58"/>
    </row>
    <row r="42" spans="1:18">
      <c r="A42" s="288"/>
      <c r="B42" s="301"/>
      <c r="C42" s="302"/>
      <c r="D42" s="301" t="s">
        <v>51</v>
      </c>
      <c r="E42" s="311"/>
      <c r="F42" s="311"/>
      <c r="G42" s="311"/>
      <c r="H42" s="311"/>
      <c r="I42" s="311"/>
      <c r="J42" s="311"/>
      <c r="K42" s="311"/>
      <c r="L42" s="311"/>
      <c r="M42" s="303"/>
      <c r="N42" s="277">
        <f t="shared" si="9"/>
        <v>0</v>
      </c>
      <c r="O42" s="277">
        <f t="shared" si="10"/>
        <v>0</v>
      </c>
      <c r="P42" s="277">
        <f t="shared" si="11"/>
        <v>0</v>
      </c>
      <c r="Q42" s="58"/>
    </row>
    <row r="43" spans="1:18">
      <c r="A43" s="288"/>
      <c r="B43" s="301"/>
      <c r="C43" s="307"/>
      <c r="D43" s="301" t="s">
        <v>51</v>
      </c>
      <c r="E43" s="303"/>
      <c r="F43" s="303"/>
      <c r="G43" s="303"/>
      <c r="H43" s="303"/>
      <c r="I43" s="303"/>
      <c r="J43" s="303"/>
      <c r="K43" s="303"/>
      <c r="L43" s="303"/>
      <c r="M43" s="303"/>
      <c r="N43" s="277">
        <f t="shared" si="9"/>
        <v>0</v>
      </c>
      <c r="O43" s="277">
        <f t="shared" si="10"/>
        <v>0</v>
      </c>
      <c r="P43" s="277">
        <f t="shared" si="11"/>
        <v>0</v>
      </c>
      <c r="Q43" s="58"/>
    </row>
    <row r="44" spans="1:18">
      <c r="A44" s="288"/>
      <c r="B44" s="301"/>
      <c r="C44" s="307"/>
      <c r="D44" s="301" t="s">
        <v>51</v>
      </c>
      <c r="E44" s="303"/>
      <c r="F44" s="303"/>
      <c r="G44" s="303"/>
      <c r="H44" s="303"/>
      <c r="I44" s="303"/>
      <c r="J44" s="303"/>
      <c r="K44" s="303"/>
      <c r="L44" s="303"/>
      <c r="M44" s="303"/>
      <c r="N44" s="277">
        <f t="shared" si="9"/>
        <v>0</v>
      </c>
      <c r="O44" s="277">
        <f t="shared" si="10"/>
        <v>0</v>
      </c>
      <c r="P44" s="277">
        <f t="shared" si="11"/>
        <v>0</v>
      </c>
      <c r="Q44" s="58"/>
    </row>
    <row r="45" spans="1:18">
      <c r="A45" s="288"/>
      <c r="B45" s="301"/>
      <c r="C45" s="307"/>
      <c r="D45" s="301" t="s">
        <v>51</v>
      </c>
      <c r="E45" s="303"/>
      <c r="F45" s="303"/>
      <c r="G45" s="303"/>
      <c r="H45" s="303"/>
      <c r="I45" s="303"/>
      <c r="J45" s="303"/>
      <c r="K45" s="303"/>
      <c r="L45" s="303"/>
      <c r="M45" s="303"/>
      <c r="N45" s="277">
        <f t="shared" ref="N45" si="12">IFERROR(AVERAGE(E45:M45),0)</f>
        <v>0</v>
      </c>
      <c r="O45" s="277">
        <f t="shared" ref="O45" si="13">IFERROR(AVERAGE(E45:G45),0)</f>
        <v>0</v>
      </c>
      <c r="P45" s="277">
        <f t="shared" ref="P45" si="14">IFERROR(AVERAGE(H45:M45),0)</f>
        <v>0</v>
      </c>
      <c r="Q45" s="58"/>
    </row>
    <row r="46" spans="1:18">
      <c r="A46" s="284"/>
      <c r="B46" s="285"/>
      <c r="C46" s="285"/>
      <c r="D46" s="285"/>
      <c r="E46" s="281"/>
      <c r="F46" s="281"/>
      <c r="G46" s="281"/>
      <c r="H46" s="281"/>
      <c r="I46" s="281"/>
      <c r="J46" s="281"/>
      <c r="K46" s="281"/>
      <c r="L46" s="281"/>
      <c r="M46" s="281"/>
      <c r="N46" s="281"/>
      <c r="O46" s="281"/>
      <c r="P46" s="281"/>
      <c r="Q46" s="58"/>
    </row>
    <row r="47" spans="1:18" ht="52">
      <c r="A47" s="282" t="s">
        <v>59</v>
      </c>
      <c r="B47" s="269" t="s">
        <v>46</v>
      </c>
      <c r="C47" s="270" t="s">
        <v>47</v>
      </c>
      <c r="D47" s="269" t="s">
        <v>48</v>
      </c>
      <c r="E47" s="270" t="s">
        <v>95</v>
      </c>
      <c r="F47" s="270" t="s">
        <v>96</v>
      </c>
      <c r="G47" s="270" t="s">
        <v>97</v>
      </c>
      <c r="H47" s="270" t="s">
        <v>98</v>
      </c>
      <c r="I47" s="271" t="s">
        <v>99</v>
      </c>
      <c r="J47" s="270" t="s">
        <v>100</v>
      </c>
      <c r="K47" s="270" t="s">
        <v>101</v>
      </c>
      <c r="L47" s="270" t="s">
        <v>102</v>
      </c>
      <c r="M47" s="270" t="s">
        <v>103</v>
      </c>
      <c r="N47" s="270" t="s">
        <v>192</v>
      </c>
      <c r="O47" s="270" t="s">
        <v>210</v>
      </c>
      <c r="P47" s="270" t="s">
        <v>211</v>
      </c>
      <c r="Q47" s="58"/>
    </row>
    <row r="48" spans="1:18">
      <c r="A48" s="272" t="str">
        <f>"Mittelwert "&amp;A47</f>
        <v>Mittelwert FFP3 ohne Ventil</v>
      </c>
      <c r="B48" s="273"/>
      <c r="C48" s="274"/>
      <c r="D48" s="274"/>
      <c r="E48" s="275">
        <f>IF(IFERROR(AVERAGE(E49:E58),0)=0,"",IFERROR(AVERAGE(E49:E58),0))</f>
        <v>3.45</v>
      </c>
      <c r="F48" s="275">
        <f t="shared" ref="F48:M48" si="15">IF(IFERROR(AVERAGE(F49:F58),0)=0,"",IFERROR(AVERAGE(F49:F58),0))</f>
        <v>3.45</v>
      </c>
      <c r="G48" s="275">
        <f t="shared" si="15"/>
        <v>3.45</v>
      </c>
      <c r="H48" s="275">
        <f t="shared" si="15"/>
        <v>3.45</v>
      </c>
      <c r="I48" s="275">
        <f t="shared" si="15"/>
        <v>3.45</v>
      </c>
      <c r="J48" s="275">
        <f t="shared" si="15"/>
        <v>3.45</v>
      </c>
      <c r="K48" s="275">
        <f t="shared" si="15"/>
        <v>3.45</v>
      </c>
      <c r="L48" s="275">
        <f t="shared" si="15"/>
        <v>3.45</v>
      </c>
      <c r="M48" s="275" t="str">
        <f t="shared" si="15"/>
        <v/>
      </c>
      <c r="N48" s="275">
        <f>IFERROR(AVERAGE(E48:M48),0)</f>
        <v>3.4499999999999997</v>
      </c>
      <c r="O48" s="275">
        <f>IFERROR(AVERAGE(E48:G48),0)</f>
        <v>3.4500000000000006</v>
      </c>
      <c r="P48" s="275">
        <f>IFERROR(AVERAGE(H48:M48),0)</f>
        <v>3.45</v>
      </c>
      <c r="Q48" s="58"/>
      <c r="R48" s="276"/>
    </row>
    <row r="49" spans="1:19">
      <c r="A49" s="288" t="s">
        <v>59</v>
      </c>
      <c r="B49" s="301" t="s">
        <v>52</v>
      </c>
      <c r="C49" s="302" t="s">
        <v>60</v>
      </c>
      <c r="D49" s="301" t="s">
        <v>51</v>
      </c>
      <c r="E49" s="297">
        <v>3.45</v>
      </c>
      <c r="F49" s="297">
        <v>3.45</v>
      </c>
      <c r="G49" s="297">
        <v>3.45</v>
      </c>
      <c r="H49" s="297">
        <v>3.45</v>
      </c>
      <c r="I49" s="297">
        <v>3.45</v>
      </c>
      <c r="J49" s="297">
        <v>3.45</v>
      </c>
      <c r="K49" s="297">
        <v>3.45</v>
      </c>
      <c r="L49" s="297">
        <v>3.45</v>
      </c>
      <c r="M49" s="310"/>
      <c r="N49" s="277">
        <f t="shared" ref="N49:N58" si="16">IFERROR(AVERAGE(E49:M49),0)</f>
        <v>3.4499999999999997</v>
      </c>
      <c r="O49" s="277">
        <f>IFERROR(AVERAGE(E49:G49),0)</f>
        <v>3.4500000000000006</v>
      </c>
      <c r="P49" s="277">
        <f>IFERROR(AVERAGE(H49:M49),0)</f>
        <v>3.45</v>
      </c>
      <c r="Q49" s="58"/>
    </row>
    <row r="50" spans="1:19">
      <c r="A50" s="288"/>
      <c r="B50" s="301"/>
      <c r="C50" s="302"/>
      <c r="D50" s="301" t="s">
        <v>51</v>
      </c>
      <c r="E50" s="297"/>
      <c r="F50" s="297"/>
      <c r="G50" s="297"/>
      <c r="H50" s="297"/>
      <c r="I50" s="306"/>
      <c r="J50" s="306"/>
      <c r="K50" s="306"/>
      <c r="L50" s="303"/>
      <c r="M50" s="310"/>
      <c r="N50" s="277">
        <f>IFERROR(AVERAGE(E50:M50),0)</f>
        <v>0</v>
      </c>
      <c r="O50" s="277">
        <f t="shared" ref="O50:O58" si="17">IFERROR(AVERAGE(E50:G50),0)</f>
        <v>0</v>
      </c>
      <c r="P50" s="277">
        <f t="shared" ref="P50:P58" si="18">IFERROR(AVERAGE(H50:M50),0)</f>
        <v>0</v>
      </c>
      <c r="Q50" s="58"/>
    </row>
    <row r="51" spans="1:19">
      <c r="A51" s="288"/>
      <c r="B51" s="307"/>
      <c r="C51" s="307"/>
      <c r="D51" s="301" t="s">
        <v>51</v>
      </c>
      <c r="E51" s="297"/>
      <c r="F51" s="297"/>
      <c r="G51" s="297"/>
      <c r="H51" s="297"/>
      <c r="I51" s="297"/>
      <c r="J51" s="297"/>
      <c r="K51" s="297"/>
      <c r="L51" s="303"/>
      <c r="M51" s="303"/>
      <c r="N51" s="277">
        <f t="shared" si="16"/>
        <v>0</v>
      </c>
      <c r="O51" s="277">
        <f t="shared" si="17"/>
        <v>0</v>
      </c>
      <c r="P51" s="277">
        <f t="shared" si="18"/>
        <v>0</v>
      </c>
      <c r="Q51" s="58"/>
    </row>
    <row r="52" spans="1:19">
      <c r="A52" s="288"/>
      <c r="B52" s="307"/>
      <c r="C52" s="305"/>
      <c r="D52" s="301" t="s">
        <v>51</v>
      </c>
      <c r="E52" s="297"/>
      <c r="F52" s="297"/>
      <c r="G52" s="297"/>
      <c r="H52" s="297"/>
      <c r="I52" s="297"/>
      <c r="J52" s="297"/>
      <c r="K52" s="303"/>
      <c r="L52" s="303"/>
      <c r="M52" s="303"/>
      <c r="N52" s="277">
        <f t="shared" si="16"/>
        <v>0</v>
      </c>
      <c r="O52" s="277">
        <f t="shared" si="17"/>
        <v>0</v>
      </c>
      <c r="P52" s="277">
        <f t="shared" si="18"/>
        <v>0</v>
      </c>
      <c r="Q52" s="58"/>
    </row>
    <row r="53" spans="1:19">
      <c r="A53" s="288"/>
      <c r="B53" s="301"/>
      <c r="C53" s="302"/>
      <c r="D53" s="301" t="s">
        <v>51</v>
      </c>
      <c r="E53" s="297"/>
      <c r="F53" s="297"/>
      <c r="G53" s="297"/>
      <c r="H53" s="297"/>
      <c r="I53" s="297"/>
      <c r="J53" s="297"/>
      <c r="K53" s="297"/>
      <c r="L53" s="297"/>
      <c r="M53" s="303"/>
      <c r="N53" s="277">
        <f t="shared" si="16"/>
        <v>0</v>
      </c>
      <c r="O53" s="277">
        <f t="shared" si="17"/>
        <v>0</v>
      </c>
      <c r="P53" s="277">
        <f t="shared" si="18"/>
        <v>0</v>
      </c>
      <c r="Q53" s="58"/>
    </row>
    <row r="54" spans="1:19">
      <c r="A54" s="288"/>
      <c r="B54" s="301"/>
      <c r="C54" s="302"/>
      <c r="D54" s="301" t="s">
        <v>51</v>
      </c>
      <c r="E54" s="297"/>
      <c r="F54" s="297"/>
      <c r="G54" s="297"/>
      <c r="H54" s="297"/>
      <c r="I54" s="297"/>
      <c r="J54" s="297"/>
      <c r="K54" s="297"/>
      <c r="L54" s="297"/>
      <c r="M54" s="303"/>
      <c r="N54" s="277">
        <f t="shared" si="16"/>
        <v>0</v>
      </c>
      <c r="O54" s="277">
        <f t="shared" si="17"/>
        <v>0</v>
      </c>
      <c r="P54" s="277">
        <f t="shared" si="18"/>
        <v>0</v>
      </c>
      <c r="Q54" s="58"/>
    </row>
    <row r="55" spans="1:19">
      <c r="A55" s="288"/>
      <c r="B55" s="301"/>
      <c r="C55" s="301"/>
      <c r="D55" s="301" t="s">
        <v>51</v>
      </c>
      <c r="E55" s="303"/>
      <c r="F55" s="303"/>
      <c r="G55" s="303"/>
      <c r="H55" s="297"/>
      <c r="I55" s="297"/>
      <c r="J55" s="297"/>
      <c r="K55" s="303"/>
      <c r="L55" s="303"/>
      <c r="M55" s="303"/>
      <c r="N55" s="277">
        <f t="shared" si="16"/>
        <v>0</v>
      </c>
      <c r="O55" s="277">
        <f t="shared" si="17"/>
        <v>0</v>
      </c>
      <c r="P55" s="277">
        <f t="shared" si="18"/>
        <v>0</v>
      </c>
      <c r="Q55" s="58"/>
    </row>
    <row r="56" spans="1:19">
      <c r="A56" s="288"/>
      <c r="B56" s="307"/>
      <c r="C56" s="307"/>
      <c r="D56" s="301" t="s">
        <v>51</v>
      </c>
      <c r="E56" s="303"/>
      <c r="F56" s="303"/>
      <c r="G56" s="303"/>
      <c r="H56" s="303"/>
      <c r="I56" s="303"/>
      <c r="J56" s="303"/>
      <c r="K56" s="303"/>
      <c r="L56" s="303"/>
      <c r="M56" s="303"/>
      <c r="N56" s="277">
        <f t="shared" si="16"/>
        <v>0</v>
      </c>
      <c r="O56" s="277">
        <f t="shared" si="17"/>
        <v>0</v>
      </c>
      <c r="P56" s="277">
        <f t="shared" si="18"/>
        <v>0</v>
      </c>
      <c r="Q56" s="58"/>
    </row>
    <row r="57" spans="1:19">
      <c r="A57" s="288"/>
      <c r="B57" s="312"/>
      <c r="C57" s="312"/>
      <c r="D57" s="301" t="s">
        <v>51</v>
      </c>
      <c r="E57" s="313"/>
      <c r="F57" s="313"/>
      <c r="G57" s="313"/>
      <c r="H57" s="313"/>
      <c r="I57" s="313"/>
      <c r="J57" s="313"/>
      <c r="K57" s="313"/>
      <c r="L57" s="313"/>
      <c r="M57" s="313"/>
      <c r="N57" s="277">
        <f t="shared" si="16"/>
        <v>0</v>
      </c>
      <c r="O57" s="277">
        <f t="shared" si="17"/>
        <v>0</v>
      </c>
      <c r="P57" s="277">
        <f t="shared" si="18"/>
        <v>0</v>
      </c>
      <c r="Q57" s="58"/>
    </row>
    <row r="58" spans="1:19">
      <c r="A58" s="288"/>
      <c r="B58" s="304"/>
      <c r="C58" s="307"/>
      <c r="D58" s="301" t="s">
        <v>51</v>
      </c>
      <c r="E58" s="314"/>
      <c r="F58" s="314"/>
      <c r="G58" s="314"/>
      <c r="H58" s="303"/>
      <c r="I58" s="303"/>
      <c r="J58" s="303"/>
      <c r="K58" s="303"/>
      <c r="L58" s="303"/>
      <c r="M58" s="303"/>
      <c r="N58" s="277">
        <f t="shared" si="16"/>
        <v>0</v>
      </c>
      <c r="O58" s="277">
        <f t="shared" si="17"/>
        <v>0</v>
      </c>
      <c r="P58" s="277">
        <f t="shared" si="18"/>
        <v>0</v>
      </c>
      <c r="Q58" s="58"/>
    </row>
    <row r="59" spans="1:19">
      <c r="A59" s="278"/>
      <c r="B59" s="285"/>
      <c r="C59" s="285"/>
      <c r="D59" s="285"/>
      <c r="E59" s="281"/>
      <c r="F59" s="281"/>
      <c r="G59" s="281"/>
      <c r="H59" s="281"/>
      <c r="I59" s="281"/>
      <c r="J59" s="281"/>
      <c r="K59" s="281"/>
      <c r="L59" s="281"/>
      <c r="M59" s="281"/>
      <c r="N59" s="281"/>
      <c r="O59" s="281"/>
      <c r="P59" s="281"/>
      <c r="Q59" s="58"/>
    </row>
    <row r="60" spans="1:19" ht="52">
      <c r="A60" s="282" t="s">
        <v>61</v>
      </c>
      <c r="B60" s="269" t="s">
        <v>46</v>
      </c>
      <c r="C60" s="270" t="s">
        <v>47</v>
      </c>
      <c r="D60" s="269" t="s">
        <v>48</v>
      </c>
      <c r="E60" s="270" t="s">
        <v>95</v>
      </c>
      <c r="F60" s="270" t="s">
        <v>96</v>
      </c>
      <c r="G60" s="270" t="s">
        <v>97</v>
      </c>
      <c r="H60" s="270" t="s">
        <v>98</v>
      </c>
      <c r="I60" s="271" t="s">
        <v>99</v>
      </c>
      <c r="J60" s="270" t="s">
        <v>100</v>
      </c>
      <c r="K60" s="270" t="s">
        <v>101</v>
      </c>
      <c r="L60" s="270" t="s">
        <v>102</v>
      </c>
      <c r="M60" s="270" t="s">
        <v>103</v>
      </c>
      <c r="N60" s="270" t="s">
        <v>192</v>
      </c>
      <c r="O60" s="270" t="s">
        <v>210</v>
      </c>
      <c r="P60" s="270" t="s">
        <v>211</v>
      </c>
      <c r="Q60" s="58"/>
    </row>
    <row r="61" spans="1:19">
      <c r="A61" s="272" t="str">
        <f>"Mittelwert "&amp;A60</f>
        <v>Mittelwert FFP3 mit Ventil</v>
      </c>
      <c r="B61" s="273"/>
      <c r="C61" s="274"/>
      <c r="D61" s="274"/>
      <c r="E61" s="275">
        <f t="shared" ref="E61:M61" si="19">IF(IFERROR(AVERAGE(E62:E71),0)=0,"",IFERROR(AVERAGE(E62:E71),0))</f>
        <v>4.5999999999999996</v>
      </c>
      <c r="F61" s="275">
        <f t="shared" si="19"/>
        <v>4.5999999999999996</v>
      </c>
      <c r="G61" s="275">
        <f t="shared" si="19"/>
        <v>4.5999999999999996</v>
      </c>
      <c r="H61" s="275">
        <f t="shared" si="19"/>
        <v>4.5999999999999996</v>
      </c>
      <c r="I61" s="275">
        <f t="shared" si="19"/>
        <v>4.5999999999999996</v>
      </c>
      <c r="J61" s="275">
        <f t="shared" si="19"/>
        <v>4.5999999999999996</v>
      </c>
      <c r="K61" s="275">
        <f t="shared" si="19"/>
        <v>4.5999999999999996</v>
      </c>
      <c r="L61" s="275">
        <f t="shared" si="19"/>
        <v>4.5999999999999996</v>
      </c>
      <c r="M61" s="275" t="str">
        <f t="shared" si="19"/>
        <v/>
      </c>
      <c r="N61" s="275">
        <f>IFERROR(AVERAGE(E61:M61),0)</f>
        <v>4.6000000000000005</v>
      </c>
      <c r="O61" s="275">
        <f>IFERROR(AVERAGE(E61:G61),0)</f>
        <v>4.5999999999999996</v>
      </c>
      <c r="P61" s="275">
        <f>IFERROR(AVERAGE(H61:M61),0)</f>
        <v>4.5999999999999996</v>
      </c>
      <c r="Q61" s="58"/>
      <c r="R61" s="276"/>
    </row>
    <row r="62" spans="1:19">
      <c r="A62" s="288" t="s">
        <v>61</v>
      </c>
      <c r="B62" s="301" t="s">
        <v>52</v>
      </c>
      <c r="C62" s="302" t="s">
        <v>62</v>
      </c>
      <c r="D62" s="301" t="s">
        <v>51</v>
      </c>
      <c r="E62" s="297">
        <v>4.5999999999999996</v>
      </c>
      <c r="F62" s="297">
        <v>4.5999999999999996</v>
      </c>
      <c r="G62" s="297">
        <v>4.5999999999999996</v>
      </c>
      <c r="H62" s="297">
        <v>4.5999999999999996</v>
      </c>
      <c r="I62" s="297">
        <v>4.5999999999999996</v>
      </c>
      <c r="J62" s="297">
        <v>4.5999999999999996</v>
      </c>
      <c r="K62" s="297">
        <v>4.5999999999999996</v>
      </c>
      <c r="L62" s="297">
        <v>4.5999999999999996</v>
      </c>
      <c r="M62" s="310"/>
      <c r="N62" s="277">
        <f t="shared" ref="N62:N71" si="20">IFERROR(AVERAGE(E62:M62),0)</f>
        <v>4.6000000000000005</v>
      </c>
      <c r="O62" s="277">
        <f>IFERROR(AVERAGE(E62:G62),0)</f>
        <v>4.5999999999999996</v>
      </c>
      <c r="P62" s="277">
        <f>IFERROR(AVERAGE(H62:M62),0)</f>
        <v>4.5999999999999996</v>
      </c>
      <c r="Q62" s="58"/>
    </row>
    <row r="63" spans="1:19">
      <c r="A63" s="288"/>
      <c r="B63" s="301"/>
      <c r="C63" s="302"/>
      <c r="D63" s="301" t="s">
        <v>51</v>
      </c>
      <c r="E63" s="297"/>
      <c r="F63" s="297"/>
      <c r="G63" s="297"/>
      <c r="H63" s="309"/>
      <c r="I63" s="309"/>
      <c r="J63" s="309"/>
      <c r="K63" s="309"/>
      <c r="L63" s="310"/>
      <c r="M63" s="310"/>
      <c r="N63" s="277">
        <f>IFERROR(AVERAGE(E63:M63),0)</f>
        <v>0</v>
      </c>
      <c r="O63" s="277">
        <f t="shared" ref="O63:O71" si="21">IFERROR(AVERAGE(E63:G63),0)</f>
        <v>0</v>
      </c>
      <c r="P63" s="277">
        <f t="shared" ref="P63:P71" si="22">IFERROR(AVERAGE(H63:M63),0)</f>
        <v>0</v>
      </c>
      <c r="Q63" s="58"/>
      <c r="S63" s="90"/>
    </row>
    <row r="64" spans="1:19">
      <c r="A64" s="288"/>
      <c r="B64" s="307"/>
      <c r="C64" s="305"/>
      <c r="D64" s="307" t="s">
        <v>51</v>
      </c>
      <c r="E64" s="297"/>
      <c r="F64" s="297"/>
      <c r="G64" s="297"/>
      <c r="H64" s="297"/>
      <c r="I64" s="297"/>
      <c r="J64" s="297"/>
      <c r="K64" s="303"/>
      <c r="L64" s="303"/>
      <c r="M64" s="303"/>
      <c r="N64" s="277">
        <f t="shared" si="20"/>
        <v>0</v>
      </c>
      <c r="O64" s="277">
        <f t="shared" si="21"/>
        <v>0</v>
      </c>
      <c r="P64" s="277">
        <f t="shared" si="22"/>
        <v>0</v>
      </c>
      <c r="Q64" s="58"/>
    </row>
    <row r="65" spans="1:18">
      <c r="A65" s="288"/>
      <c r="B65" s="301"/>
      <c r="C65" s="302"/>
      <c r="D65" s="301" t="s">
        <v>51</v>
      </c>
      <c r="E65" s="297"/>
      <c r="F65" s="297"/>
      <c r="G65" s="297"/>
      <c r="H65" s="297"/>
      <c r="I65" s="297"/>
      <c r="J65" s="297"/>
      <c r="K65" s="297"/>
      <c r="L65" s="297"/>
      <c r="M65" s="303"/>
      <c r="N65" s="277">
        <f t="shared" si="20"/>
        <v>0</v>
      </c>
      <c r="O65" s="277">
        <f t="shared" si="21"/>
        <v>0</v>
      </c>
      <c r="P65" s="277">
        <f t="shared" si="22"/>
        <v>0</v>
      </c>
      <c r="Q65" s="58"/>
    </row>
    <row r="66" spans="1:18">
      <c r="A66" s="288"/>
      <c r="B66" s="301"/>
      <c r="C66" s="302"/>
      <c r="D66" s="301" t="s">
        <v>51</v>
      </c>
      <c r="E66" s="297"/>
      <c r="F66" s="297"/>
      <c r="G66" s="297"/>
      <c r="H66" s="297"/>
      <c r="I66" s="297"/>
      <c r="J66" s="297"/>
      <c r="K66" s="297"/>
      <c r="L66" s="297"/>
      <c r="M66" s="303"/>
      <c r="N66" s="277">
        <f t="shared" si="20"/>
        <v>0</v>
      </c>
      <c r="O66" s="277">
        <f t="shared" si="21"/>
        <v>0</v>
      </c>
      <c r="P66" s="277">
        <f t="shared" si="22"/>
        <v>0</v>
      </c>
      <c r="Q66" s="58"/>
    </row>
    <row r="67" spans="1:18">
      <c r="A67" s="288"/>
      <c r="B67" s="307"/>
      <c r="C67" s="307"/>
      <c r="D67" s="301" t="s">
        <v>51</v>
      </c>
      <c r="E67" s="303"/>
      <c r="F67" s="303"/>
      <c r="G67" s="303"/>
      <c r="H67" s="303"/>
      <c r="I67" s="303"/>
      <c r="J67" s="297"/>
      <c r="K67" s="303"/>
      <c r="L67" s="303"/>
      <c r="M67" s="303"/>
      <c r="N67" s="277">
        <f t="shared" si="20"/>
        <v>0</v>
      </c>
      <c r="O67" s="277">
        <f t="shared" si="21"/>
        <v>0</v>
      </c>
      <c r="P67" s="277">
        <f t="shared" si="22"/>
        <v>0</v>
      </c>
    </row>
    <row r="68" spans="1:18">
      <c r="A68" s="288"/>
      <c r="B68" s="307"/>
      <c r="C68" s="307"/>
      <c r="D68" s="301" t="s">
        <v>51</v>
      </c>
      <c r="E68" s="303"/>
      <c r="F68" s="303"/>
      <c r="G68" s="303"/>
      <c r="H68" s="303"/>
      <c r="I68" s="303"/>
      <c r="J68" s="297"/>
      <c r="K68" s="303"/>
      <c r="L68" s="303"/>
      <c r="M68" s="303"/>
      <c r="N68" s="277">
        <f t="shared" si="20"/>
        <v>0</v>
      </c>
      <c r="O68" s="277">
        <f t="shared" si="21"/>
        <v>0</v>
      </c>
      <c r="P68" s="277">
        <f t="shared" si="22"/>
        <v>0</v>
      </c>
    </row>
    <row r="69" spans="1:18">
      <c r="A69" s="288"/>
      <c r="B69" s="307"/>
      <c r="C69" s="307"/>
      <c r="D69" s="301" t="s">
        <v>51</v>
      </c>
      <c r="E69" s="303"/>
      <c r="F69" s="303"/>
      <c r="G69" s="303"/>
      <c r="H69" s="303"/>
      <c r="I69" s="303"/>
      <c r="J69" s="297"/>
      <c r="K69" s="303"/>
      <c r="L69" s="303"/>
      <c r="M69" s="303"/>
      <c r="N69" s="277">
        <f t="shared" si="20"/>
        <v>0</v>
      </c>
      <c r="O69" s="277">
        <f t="shared" si="21"/>
        <v>0</v>
      </c>
      <c r="P69" s="277">
        <f t="shared" si="22"/>
        <v>0</v>
      </c>
    </row>
    <row r="70" spans="1:18">
      <c r="A70" s="288"/>
      <c r="B70" s="307"/>
      <c r="C70" s="307"/>
      <c r="D70" s="301" t="s">
        <v>51</v>
      </c>
      <c r="E70" s="303"/>
      <c r="F70" s="303"/>
      <c r="G70" s="303"/>
      <c r="H70" s="303"/>
      <c r="I70" s="303"/>
      <c r="J70" s="303"/>
      <c r="K70" s="303"/>
      <c r="L70" s="303"/>
      <c r="M70" s="303"/>
      <c r="N70" s="277">
        <f>IFERROR(AVERAGE(E70:M70),0)</f>
        <v>0</v>
      </c>
      <c r="O70" s="277">
        <f t="shared" si="21"/>
        <v>0</v>
      </c>
      <c r="P70" s="277">
        <f t="shared" si="22"/>
        <v>0</v>
      </c>
    </row>
    <row r="71" spans="1:18">
      <c r="A71" s="288"/>
      <c r="B71" s="312"/>
      <c r="C71" s="312"/>
      <c r="D71" s="301" t="s">
        <v>51</v>
      </c>
      <c r="E71" s="313"/>
      <c r="F71" s="313"/>
      <c r="G71" s="313"/>
      <c r="H71" s="313"/>
      <c r="I71" s="313"/>
      <c r="J71" s="313"/>
      <c r="K71" s="313"/>
      <c r="L71" s="313"/>
      <c r="M71" s="313"/>
      <c r="N71" s="277">
        <f t="shared" si="20"/>
        <v>0</v>
      </c>
      <c r="O71" s="277">
        <f t="shared" si="21"/>
        <v>0</v>
      </c>
      <c r="P71" s="277">
        <f t="shared" si="22"/>
        <v>0</v>
      </c>
    </row>
    <row r="73" spans="1:18" ht="52">
      <c r="A73" s="282" t="s">
        <v>63</v>
      </c>
      <c r="B73" s="269" t="s">
        <v>46</v>
      </c>
      <c r="C73" s="270" t="s">
        <v>47</v>
      </c>
      <c r="D73" s="269" t="s">
        <v>48</v>
      </c>
      <c r="E73" s="270" t="s">
        <v>95</v>
      </c>
      <c r="F73" s="270" t="s">
        <v>96</v>
      </c>
      <c r="G73" s="270" t="s">
        <v>97</v>
      </c>
      <c r="H73" s="270" t="s">
        <v>98</v>
      </c>
      <c r="I73" s="271" t="s">
        <v>99</v>
      </c>
      <c r="J73" s="270" t="s">
        <v>100</v>
      </c>
      <c r="K73" s="270" t="s">
        <v>101</v>
      </c>
      <c r="L73" s="270" t="s">
        <v>102</v>
      </c>
      <c r="M73" s="270" t="s">
        <v>103</v>
      </c>
      <c r="N73" s="270" t="s">
        <v>192</v>
      </c>
      <c r="O73" s="270" t="s">
        <v>210</v>
      </c>
      <c r="P73" s="270" t="s">
        <v>211</v>
      </c>
    </row>
    <row r="74" spans="1:18">
      <c r="A74" s="272" t="str">
        <f>"Mittelwert "&amp;A73</f>
        <v>Mittelwert US-Handschuhe unsteril Latex</v>
      </c>
      <c r="B74" s="273"/>
      <c r="C74" s="274"/>
      <c r="D74" s="274"/>
      <c r="E74" s="275">
        <f>IF(IFERROR(AVERAGE(E75:E84),0)=0,"",IFERROR(AVERAGE(E75:E84),0))</f>
        <v>2.2499999999999999E-2</v>
      </c>
      <c r="F74" s="275">
        <f t="shared" ref="F74:M74" si="23">IF(IFERROR(AVERAGE(F75:F84),0)=0,"",IFERROR(AVERAGE(F75:F84),0))</f>
        <v>2.2499999999999999E-2</v>
      </c>
      <c r="G74" s="275">
        <f t="shared" si="23"/>
        <v>2.2499999999999999E-2</v>
      </c>
      <c r="H74" s="275">
        <f t="shared" si="23"/>
        <v>2.2499999999999999E-2</v>
      </c>
      <c r="I74" s="275">
        <f t="shared" si="23"/>
        <v>2.2499999999999999E-2</v>
      </c>
      <c r="J74" s="275">
        <f t="shared" si="23"/>
        <v>2.2499999999999999E-2</v>
      </c>
      <c r="K74" s="275">
        <f t="shared" si="23"/>
        <v>2.2499999999999999E-2</v>
      </c>
      <c r="L74" s="275">
        <f t="shared" si="23"/>
        <v>2.2499999999999999E-2</v>
      </c>
      <c r="M74" s="275" t="str">
        <f t="shared" si="23"/>
        <v/>
      </c>
      <c r="N74" s="275">
        <f>IFERROR(AVERAGE(E74:M74),0)</f>
        <v>2.2499999999999996E-2</v>
      </c>
      <c r="O74" s="275">
        <f>IFERROR(AVERAGE(E74:G74),0)</f>
        <v>2.2500000000000003E-2</v>
      </c>
      <c r="P74" s="275">
        <f>IFERROR(AVERAGE(H74:M74),0)</f>
        <v>2.2499999999999999E-2</v>
      </c>
      <c r="Q74" s="58"/>
      <c r="R74" s="276"/>
    </row>
    <row r="75" spans="1:18">
      <c r="A75" s="288" t="s">
        <v>63</v>
      </c>
      <c r="B75" s="288" t="s">
        <v>137</v>
      </c>
      <c r="C75" s="296">
        <v>553303</v>
      </c>
      <c r="D75" s="288" t="s">
        <v>51</v>
      </c>
      <c r="E75" s="291">
        <v>2.2499999999999999E-2</v>
      </c>
      <c r="F75" s="291">
        <v>2.2499999999999999E-2</v>
      </c>
      <c r="G75" s="291">
        <v>2.2499999999999999E-2</v>
      </c>
      <c r="H75" s="291">
        <v>2.2499999999999999E-2</v>
      </c>
      <c r="I75" s="291">
        <v>2.2499999999999999E-2</v>
      </c>
      <c r="J75" s="291">
        <v>2.2499999999999999E-2</v>
      </c>
      <c r="K75" s="291">
        <v>2.2499999999999999E-2</v>
      </c>
      <c r="L75" s="291">
        <v>2.2499999999999999E-2</v>
      </c>
      <c r="M75" s="291"/>
      <c r="N75" s="277">
        <f t="shared" ref="N75:N84" si="24">IFERROR(AVERAGE(E75:M75),0)</f>
        <v>2.2499999999999996E-2</v>
      </c>
      <c r="O75" s="277">
        <f>IFERROR(AVERAGE(E75:G75),0)</f>
        <v>2.2500000000000003E-2</v>
      </c>
      <c r="P75" s="277">
        <f>IFERROR(AVERAGE(H75:M75),0)</f>
        <v>2.2499999999999999E-2</v>
      </c>
    </row>
    <row r="76" spans="1:18">
      <c r="A76" s="288"/>
      <c r="B76" s="288"/>
      <c r="C76" s="296"/>
      <c r="D76" s="288" t="s">
        <v>51</v>
      </c>
      <c r="E76" s="291"/>
      <c r="F76" s="291"/>
      <c r="G76" s="291"/>
      <c r="H76" s="291"/>
      <c r="I76" s="291"/>
      <c r="J76" s="294"/>
      <c r="K76" s="294"/>
      <c r="L76" s="291"/>
      <c r="M76" s="291"/>
      <c r="N76" s="277">
        <f>IFERROR(AVERAGE(E76:M76),0)</f>
        <v>0</v>
      </c>
      <c r="O76" s="277">
        <f t="shared" ref="O76:O84" si="25">IFERROR(AVERAGE(E76:G76),0)</f>
        <v>0</v>
      </c>
      <c r="P76" s="277">
        <f t="shared" ref="P76:P84" si="26">IFERROR(AVERAGE(H76:M76),0)</f>
        <v>0</v>
      </c>
    </row>
    <row r="77" spans="1:18">
      <c r="A77" s="288"/>
      <c r="B77" s="288"/>
      <c r="C77" s="296"/>
      <c r="D77" s="288" t="s">
        <v>51</v>
      </c>
      <c r="E77" s="291"/>
      <c r="F77" s="291"/>
      <c r="G77" s="291"/>
      <c r="H77" s="291"/>
      <c r="I77" s="291"/>
      <c r="J77" s="291"/>
      <c r="K77" s="292"/>
      <c r="L77" s="292"/>
      <c r="M77" s="292"/>
      <c r="N77" s="277">
        <f t="shared" si="24"/>
        <v>0</v>
      </c>
      <c r="O77" s="277">
        <f t="shared" si="25"/>
        <v>0</v>
      </c>
      <c r="P77" s="277">
        <f t="shared" si="26"/>
        <v>0</v>
      </c>
    </row>
    <row r="78" spans="1:18">
      <c r="A78" s="296"/>
      <c r="B78" s="288"/>
      <c r="C78" s="296"/>
      <c r="D78" s="288" t="s">
        <v>51</v>
      </c>
      <c r="E78" s="291"/>
      <c r="F78" s="291"/>
      <c r="G78" s="291"/>
      <c r="H78" s="291"/>
      <c r="I78" s="291"/>
      <c r="J78" s="291"/>
      <c r="K78" s="291"/>
      <c r="L78" s="292"/>
      <c r="M78" s="292"/>
      <c r="N78" s="277">
        <f t="shared" si="24"/>
        <v>0</v>
      </c>
      <c r="O78" s="277">
        <f t="shared" si="25"/>
        <v>0</v>
      </c>
      <c r="P78" s="277">
        <f t="shared" si="26"/>
        <v>0</v>
      </c>
    </row>
    <row r="79" spans="1:18">
      <c r="A79" s="288"/>
      <c r="B79" s="289"/>
      <c r="C79" s="289"/>
      <c r="D79" s="288" t="s">
        <v>51</v>
      </c>
      <c r="E79" s="292"/>
      <c r="F79" s="292"/>
      <c r="G79" s="292"/>
      <c r="H79" s="292"/>
      <c r="I79" s="292"/>
      <c r="J79" s="292"/>
      <c r="K79" s="292"/>
      <c r="L79" s="292"/>
      <c r="M79" s="292"/>
      <c r="N79" s="277">
        <f t="shared" si="24"/>
        <v>0</v>
      </c>
      <c r="O79" s="277">
        <f t="shared" si="25"/>
        <v>0</v>
      </c>
      <c r="P79" s="277">
        <f t="shared" si="26"/>
        <v>0</v>
      </c>
    </row>
    <row r="80" spans="1:18">
      <c r="A80" s="288"/>
      <c r="B80" s="289"/>
      <c r="C80" s="289"/>
      <c r="D80" s="288" t="s">
        <v>51</v>
      </c>
      <c r="E80" s="292"/>
      <c r="F80" s="292"/>
      <c r="G80" s="292"/>
      <c r="H80" s="292"/>
      <c r="I80" s="292"/>
      <c r="J80" s="292"/>
      <c r="K80" s="292"/>
      <c r="L80" s="292"/>
      <c r="M80" s="292"/>
      <c r="N80" s="277">
        <f t="shared" si="24"/>
        <v>0</v>
      </c>
      <c r="O80" s="277">
        <f t="shared" si="25"/>
        <v>0</v>
      </c>
      <c r="P80" s="277">
        <f t="shared" si="26"/>
        <v>0</v>
      </c>
    </row>
    <row r="81" spans="1:18">
      <c r="A81" s="288"/>
      <c r="B81" s="289"/>
      <c r="C81" s="289"/>
      <c r="D81" s="288" t="s">
        <v>51</v>
      </c>
      <c r="E81" s="292"/>
      <c r="F81" s="292"/>
      <c r="G81" s="292"/>
      <c r="H81" s="292"/>
      <c r="I81" s="292"/>
      <c r="J81" s="292"/>
      <c r="K81" s="292"/>
      <c r="L81" s="292"/>
      <c r="M81" s="292"/>
      <c r="N81" s="277">
        <f t="shared" ref="N81:N82" si="27">IFERROR(AVERAGE(E81:M81),0)</f>
        <v>0</v>
      </c>
      <c r="O81" s="277">
        <f t="shared" ref="O81:O82" si="28">IFERROR(AVERAGE(E81:G81),0)</f>
        <v>0</v>
      </c>
      <c r="P81" s="277">
        <f t="shared" ref="P81:P82" si="29">IFERROR(AVERAGE(H81:M81),0)</f>
        <v>0</v>
      </c>
    </row>
    <row r="82" spans="1:18">
      <c r="A82" s="288"/>
      <c r="B82" s="289"/>
      <c r="C82" s="289"/>
      <c r="D82" s="288" t="s">
        <v>51</v>
      </c>
      <c r="E82" s="292"/>
      <c r="F82" s="292"/>
      <c r="G82" s="292"/>
      <c r="H82" s="292"/>
      <c r="I82" s="292"/>
      <c r="J82" s="292"/>
      <c r="K82" s="292"/>
      <c r="L82" s="292"/>
      <c r="M82" s="292"/>
      <c r="N82" s="277">
        <f t="shared" si="27"/>
        <v>0</v>
      </c>
      <c r="O82" s="277">
        <f t="shared" si="28"/>
        <v>0</v>
      </c>
      <c r="P82" s="277">
        <f t="shared" si="29"/>
        <v>0</v>
      </c>
    </row>
    <row r="83" spans="1:18">
      <c r="A83" s="288"/>
      <c r="B83" s="299"/>
      <c r="C83" s="299"/>
      <c r="D83" s="288" t="s">
        <v>51</v>
      </c>
      <c r="E83" s="300"/>
      <c r="F83" s="300"/>
      <c r="G83" s="300"/>
      <c r="H83" s="300"/>
      <c r="I83" s="300"/>
      <c r="J83" s="300"/>
      <c r="K83" s="300"/>
      <c r="L83" s="300"/>
      <c r="M83" s="300"/>
      <c r="N83" s="277">
        <f t="shared" si="24"/>
        <v>0</v>
      </c>
      <c r="O83" s="277">
        <f t="shared" si="25"/>
        <v>0</v>
      </c>
      <c r="P83" s="277">
        <f t="shared" si="26"/>
        <v>0</v>
      </c>
    </row>
    <row r="84" spans="1:18">
      <c r="A84" s="288"/>
      <c r="B84" s="293"/>
      <c r="C84" s="289"/>
      <c r="D84" s="288" t="s">
        <v>51</v>
      </c>
      <c r="E84" s="295"/>
      <c r="F84" s="295"/>
      <c r="G84" s="295"/>
      <c r="H84" s="292"/>
      <c r="I84" s="292"/>
      <c r="J84" s="292"/>
      <c r="K84" s="292"/>
      <c r="L84" s="292"/>
      <c r="M84" s="292"/>
      <c r="N84" s="277">
        <f t="shared" si="24"/>
        <v>0</v>
      </c>
      <c r="O84" s="277">
        <f t="shared" si="25"/>
        <v>0</v>
      </c>
      <c r="P84" s="277">
        <f t="shared" si="26"/>
        <v>0</v>
      </c>
    </row>
    <row r="86" spans="1:18" ht="52">
      <c r="A86" s="282" t="s">
        <v>66</v>
      </c>
      <c r="B86" s="269" t="s">
        <v>46</v>
      </c>
      <c r="C86" s="270" t="s">
        <v>47</v>
      </c>
      <c r="D86" s="269" t="s">
        <v>48</v>
      </c>
      <c r="E86" s="270" t="s">
        <v>95</v>
      </c>
      <c r="F86" s="270" t="s">
        <v>96</v>
      </c>
      <c r="G86" s="270" t="s">
        <v>97</v>
      </c>
      <c r="H86" s="270" t="s">
        <v>98</v>
      </c>
      <c r="I86" s="271" t="s">
        <v>99</v>
      </c>
      <c r="J86" s="270" t="s">
        <v>100</v>
      </c>
      <c r="K86" s="270" t="s">
        <v>101</v>
      </c>
      <c r="L86" s="270" t="s">
        <v>102</v>
      </c>
      <c r="M86" s="270" t="s">
        <v>103</v>
      </c>
      <c r="N86" s="270" t="s">
        <v>192</v>
      </c>
      <c r="O86" s="270" t="s">
        <v>210</v>
      </c>
      <c r="P86" s="270" t="s">
        <v>211</v>
      </c>
    </row>
    <row r="87" spans="1:18">
      <c r="A87" s="272" t="str">
        <f>"Mittelwert "&amp;A86</f>
        <v>Mittelwert US-Handschuhe unsteril latexfrei</v>
      </c>
      <c r="B87" s="273"/>
      <c r="C87" s="274"/>
      <c r="D87" s="274"/>
      <c r="E87" s="275">
        <f t="shared" ref="E87:M87" si="30">IF(IFERROR(AVERAGE(E88:E97),0)=0,"",IFERROR(AVERAGE(E88:E97),0))</f>
        <v>2.3E-2</v>
      </c>
      <c r="F87" s="275">
        <f t="shared" si="30"/>
        <v>2.3E-2</v>
      </c>
      <c r="G87" s="275">
        <f t="shared" si="30"/>
        <v>2.3E-2</v>
      </c>
      <c r="H87" s="275">
        <f t="shared" si="30"/>
        <v>2.3E-2</v>
      </c>
      <c r="I87" s="275">
        <f t="shared" si="30"/>
        <v>2.3E-2</v>
      </c>
      <c r="J87" s="275">
        <f t="shared" si="30"/>
        <v>2.3E-2</v>
      </c>
      <c r="K87" s="275">
        <f t="shared" si="30"/>
        <v>2.3E-2</v>
      </c>
      <c r="L87" s="275">
        <f t="shared" si="30"/>
        <v>2.3E-2</v>
      </c>
      <c r="M87" s="275" t="str">
        <f t="shared" si="30"/>
        <v/>
      </c>
      <c r="N87" s="275">
        <f>IFERROR(AVERAGE(E87:M87),0)</f>
        <v>2.2999999999999996E-2</v>
      </c>
      <c r="O87" s="275">
        <f>IFERROR(AVERAGE(E87:G87),0)</f>
        <v>2.3000000000000003E-2</v>
      </c>
      <c r="P87" s="275">
        <f>IFERROR(AVERAGE(H87:M87),0)</f>
        <v>2.3E-2</v>
      </c>
      <c r="Q87" s="58"/>
      <c r="R87" s="276"/>
    </row>
    <row r="88" spans="1:18">
      <c r="A88" s="288" t="s">
        <v>66</v>
      </c>
      <c r="B88" s="301" t="s">
        <v>65</v>
      </c>
      <c r="C88" s="302">
        <v>9201120</v>
      </c>
      <c r="D88" s="301" t="s">
        <v>51</v>
      </c>
      <c r="E88" s="297">
        <v>2.3E-2</v>
      </c>
      <c r="F88" s="297">
        <v>2.3E-2</v>
      </c>
      <c r="G88" s="297">
        <v>2.3E-2</v>
      </c>
      <c r="H88" s="297">
        <v>2.3E-2</v>
      </c>
      <c r="I88" s="297">
        <v>2.3E-2</v>
      </c>
      <c r="J88" s="297">
        <v>2.3E-2</v>
      </c>
      <c r="K88" s="297">
        <v>2.3E-2</v>
      </c>
      <c r="L88" s="297">
        <v>2.3E-2</v>
      </c>
      <c r="M88" s="297"/>
      <c r="N88" s="277">
        <f t="shared" ref="N88:N97" si="31">IFERROR(AVERAGE(E88:M88),0)</f>
        <v>2.2999999999999996E-2</v>
      </c>
      <c r="O88" s="277">
        <f>IFERROR(AVERAGE(E88:G88),0)</f>
        <v>2.3000000000000003E-2</v>
      </c>
      <c r="P88" s="277">
        <f>IFERROR(AVERAGE(H88:M88),0)</f>
        <v>2.3E-2</v>
      </c>
    </row>
    <row r="89" spans="1:18">
      <c r="A89" s="288"/>
      <c r="B89" s="307"/>
      <c r="C89" s="305"/>
      <c r="D89" s="288" t="s">
        <v>51</v>
      </c>
      <c r="E89" s="297"/>
      <c r="F89" s="297"/>
      <c r="G89" s="297"/>
      <c r="H89" s="297"/>
      <c r="I89" s="297"/>
      <c r="J89" s="297"/>
      <c r="K89" s="297"/>
      <c r="L89" s="297"/>
      <c r="M89" s="297"/>
      <c r="N89" s="277">
        <f>IFERROR(AVERAGE(E89:M89),0)</f>
        <v>0</v>
      </c>
      <c r="O89" s="277">
        <f t="shared" ref="O89:O97" si="32">IFERROR(AVERAGE(E89:G89),0)</f>
        <v>0</v>
      </c>
      <c r="P89" s="277">
        <f t="shared" ref="P89:P97" si="33">IFERROR(AVERAGE(H89:M89),0)</f>
        <v>0</v>
      </c>
    </row>
    <row r="90" spans="1:18">
      <c r="A90" s="288"/>
      <c r="B90" s="307"/>
      <c r="C90" s="305"/>
      <c r="D90" s="288" t="s">
        <v>51</v>
      </c>
      <c r="E90" s="297"/>
      <c r="F90" s="297"/>
      <c r="G90" s="297"/>
      <c r="H90" s="297"/>
      <c r="I90" s="297"/>
      <c r="J90" s="297"/>
      <c r="K90" s="297"/>
      <c r="L90" s="297"/>
      <c r="M90" s="297"/>
      <c r="N90" s="277">
        <f t="shared" si="31"/>
        <v>0</v>
      </c>
      <c r="O90" s="277">
        <f t="shared" si="32"/>
        <v>0</v>
      </c>
      <c r="P90" s="277">
        <f t="shared" si="33"/>
        <v>0</v>
      </c>
    </row>
    <row r="91" spans="1:18">
      <c r="A91" s="315"/>
      <c r="B91" s="307"/>
      <c r="C91" s="305"/>
      <c r="D91" s="288" t="s">
        <v>51</v>
      </c>
      <c r="E91" s="297"/>
      <c r="F91" s="297"/>
      <c r="G91" s="297"/>
      <c r="H91" s="297"/>
      <c r="I91" s="297"/>
      <c r="J91" s="297"/>
      <c r="K91" s="303"/>
      <c r="L91" s="303"/>
      <c r="M91" s="303"/>
      <c r="N91" s="277">
        <f t="shared" si="31"/>
        <v>0</v>
      </c>
      <c r="O91" s="277">
        <f t="shared" si="32"/>
        <v>0</v>
      </c>
      <c r="P91" s="277">
        <f t="shared" si="33"/>
        <v>0</v>
      </c>
    </row>
    <row r="92" spans="1:18">
      <c r="A92" s="315"/>
      <c r="B92" s="307"/>
      <c r="C92" s="307"/>
      <c r="D92" s="288" t="s">
        <v>51</v>
      </c>
      <c r="E92" s="297"/>
      <c r="F92" s="297"/>
      <c r="G92" s="297"/>
      <c r="H92" s="297"/>
      <c r="I92" s="297"/>
      <c r="J92" s="297"/>
      <c r="K92" s="303"/>
      <c r="L92" s="303"/>
      <c r="M92" s="303"/>
      <c r="N92" s="277">
        <f t="shared" si="31"/>
        <v>0</v>
      </c>
      <c r="O92" s="277">
        <f t="shared" si="32"/>
        <v>0</v>
      </c>
      <c r="P92" s="277">
        <f t="shared" si="33"/>
        <v>0</v>
      </c>
    </row>
    <row r="93" spans="1:18">
      <c r="A93" s="288"/>
      <c r="B93" s="301"/>
      <c r="C93" s="302"/>
      <c r="D93" s="288" t="s">
        <v>51</v>
      </c>
      <c r="E93" s="297"/>
      <c r="F93" s="297"/>
      <c r="G93" s="297"/>
      <c r="H93" s="297"/>
      <c r="I93" s="297"/>
      <c r="J93" s="297"/>
      <c r="K93" s="297"/>
      <c r="L93" s="297"/>
      <c r="M93" s="303"/>
      <c r="N93" s="277">
        <f t="shared" si="31"/>
        <v>0</v>
      </c>
      <c r="O93" s="277">
        <f t="shared" si="32"/>
        <v>0</v>
      </c>
      <c r="P93" s="277">
        <f t="shared" si="33"/>
        <v>0</v>
      </c>
    </row>
    <row r="94" spans="1:18">
      <c r="A94" s="288"/>
      <c r="B94" s="301"/>
      <c r="C94" s="302"/>
      <c r="D94" s="288" t="s">
        <v>51</v>
      </c>
      <c r="E94" s="297"/>
      <c r="F94" s="297"/>
      <c r="G94" s="297"/>
      <c r="H94" s="297"/>
      <c r="I94" s="297"/>
      <c r="J94" s="297"/>
      <c r="K94" s="297"/>
      <c r="L94" s="297"/>
      <c r="M94" s="303"/>
      <c r="N94" s="277">
        <f t="shared" si="31"/>
        <v>0</v>
      </c>
      <c r="O94" s="277">
        <f t="shared" si="32"/>
        <v>0</v>
      </c>
      <c r="P94" s="277">
        <f t="shared" si="33"/>
        <v>0</v>
      </c>
    </row>
    <row r="95" spans="1:18">
      <c r="A95" s="288"/>
      <c r="B95" s="301"/>
      <c r="C95" s="302"/>
      <c r="D95" s="288" t="s">
        <v>51</v>
      </c>
      <c r="E95" s="297"/>
      <c r="F95" s="297"/>
      <c r="G95" s="297"/>
      <c r="H95" s="297"/>
      <c r="I95" s="297"/>
      <c r="J95" s="297"/>
      <c r="K95" s="297"/>
      <c r="L95" s="297"/>
      <c r="M95" s="303"/>
      <c r="N95" s="277">
        <f t="shared" si="31"/>
        <v>0</v>
      </c>
      <c r="O95" s="277">
        <f t="shared" si="32"/>
        <v>0</v>
      </c>
      <c r="P95" s="277">
        <f t="shared" si="33"/>
        <v>0</v>
      </c>
    </row>
    <row r="96" spans="1:18">
      <c r="A96" s="288"/>
      <c r="B96" s="307"/>
      <c r="C96" s="305"/>
      <c r="D96" s="288" t="s">
        <v>51</v>
      </c>
      <c r="E96" s="297"/>
      <c r="F96" s="297"/>
      <c r="G96" s="297"/>
      <c r="H96" s="297"/>
      <c r="I96" s="297"/>
      <c r="J96" s="297"/>
      <c r="K96" s="297"/>
      <c r="L96" s="297"/>
      <c r="M96" s="303"/>
      <c r="N96" s="277">
        <f t="shared" si="31"/>
        <v>0</v>
      </c>
      <c r="O96" s="277">
        <f t="shared" si="32"/>
        <v>0</v>
      </c>
      <c r="P96" s="277">
        <f t="shared" si="33"/>
        <v>0</v>
      </c>
    </row>
    <row r="97" spans="1:18">
      <c r="A97" s="288"/>
      <c r="B97" s="307"/>
      <c r="C97" s="307"/>
      <c r="D97" s="288" t="s">
        <v>51</v>
      </c>
      <c r="E97" s="303"/>
      <c r="F97" s="303"/>
      <c r="G97" s="303"/>
      <c r="H97" s="303"/>
      <c r="I97" s="303"/>
      <c r="J97" s="303"/>
      <c r="K97" s="303"/>
      <c r="L97" s="303"/>
      <c r="M97" s="303"/>
      <c r="N97" s="277">
        <f t="shared" si="31"/>
        <v>0</v>
      </c>
      <c r="O97" s="277">
        <f t="shared" si="32"/>
        <v>0</v>
      </c>
      <c r="P97" s="277">
        <f t="shared" si="33"/>
        <v>0</v>
      </c>
    </row>
    <row r="99" spans="1:18" ht="52">
      <c r="A99" s="282" t="s">
        <v>67</v>
      </c>
      <c r="B99" s="269" t="s">
        <v>46</v>
      </c>
      <c r="C99" s="270" t="s">
        <v>47</v>
      </c>
      <c r="D99" s="269" t="s">
        <v>48</v>
      </c>
      <c r="E99" s="270" t="s">
        <v>95</v>
      </c>
      <c r="F99" s="270" t="s">
        <v>96</v>
      </c>
      <c r="G99" s="270" t="s">
        <v>97</v>
      </c>
      <c r="H99" s="270" t="s">
        <v>98</v>
      </c>
      <c r="I99" s="271" t="s">
        <v>99</v>
      </c>
      <c r="J99" s="270" t="s">
        <v>100</v>
      </c>
      <c r="K99" s="270" t="s">
        <v>101</v>
      </c>
      <c r="L99" s="270" t="s">
        <v>102</v>
      </c>
      <c r="M99" s="270" t="s">
        <v>103</v>
      </c>
      <c r="N99" s="270" t="s">
        <v>192</v>
      </c>
      <c r="O99" s="270" t="s">
        <v>210</v>
      </c>
      <c r="P99" s="270" t="s">
        <v>211</v>
      </c>
    </row>
    <row r="100" spans="1:18">
      <c r="A100" s="272" t="str">
        <f>"Mittelwert "&amp;A99</f>
        <v>Mittelwert Kittel unverstärkt</v>
      </c>
      <c r="B100" s="273"/>
      <c r="C100" s="274"/>
      <c r="D100" s="274"/>
      <c r="E100" s="275">
        <f>IF(IFERROR(AVERAGE(E101:E110),0)=0,"",IFERROR(AVERAGE(E101:E110),0))</f>
        <v>0.19</v>
      </c>
      <c r="F100" s="275">
        <f t="shared" ref="F100:M100" si="34">IF(IFERROR(AVERAGE(F101:F110),0)=0,"",IFERROR(AVERAGE(F101:F110),0))</f>
        <v>0.19</v>
      </c>
      <c r="G100" s="275">
        <f t="shared" si="34"/>
        <v>0.19</v>
      </c>
      <c r="H100" s="275">
        <f t="shared" si="34"/>
        <v>0.19</v>
      </c>
      <c r="I100" s="275">
        <f t="shared" si="34"/>
        <v>0.19</v>
      </c>
      <c r="J100" s="275">
        <f t="shared" si="34"/>
        <v>0.19</v>
      </c>
      <c r="K100" s="275">
        <f t="shared" si="34"/>
        <v>0.19</v>
      </c>
      <c r="L100" s="275">
        <f t="shared" si="34"/>
        <v>0.19</v>
      </c>
      <c r="M100" s="275" t="str">
        <f t="shared" si="34"/>
        <v/>
      </c>
      <c r="N100" s="275">
        <f>IFERROR(AVERAGE(E100:M100),0)</f>
        <v>0.18999999999999997</v>
      </c>
      <c r="O100" s="275">
        <f>IFERROR(AVERAGE(E100:G100),0)</f>
        <v>0.19000000000000003</v>
      </c>
      <c r="P100" s="275">
        <f>IFERROR(AVERAGE(H100:M100),0)</f>
        <v>0.19</v>
      </c>
      <c r="Q100" s="58"/>
      <c r="R100" s="276"/>
    </row>
    <row r="101" spans="1:18">
      <c r="A101" s="296" t="s">
        <v>67</v>
      </c>
      <c r="B101" s="307" t="s">
        <v>135</v>
      </c>
      <c r="C101" s="307" t="s">
        <v>142</v>
      </c>
      <c r="D101" s="301" t="s">
        <v>51</v>
      </c>
      <c r="E101" s="297">
        <v>0.19</v>
      </c>
      <c r="F101" s="297">
        <v>0.19</v>
      </c>
      <c r="G101" s="297">
        <v>0.19</v>
      </c>
      <c r="H101" s="297">
        <v>0.19</v>
      </c>
      <c r="I101" s="297">
        <v>0.19</v>
      </c>
      <c r="J101" s="297">
        <v>0.19</v>
      </c>
      <c r="K101" s="297">
        <v>0.19</v>
      </c>
      <c r="L101" s="297">
        <v>0.19</v>
      </c>
      <c r="M101" s="297"/>
      <c r="N101" s="277">
        <f t="shared" ref="N101:N110" si="35">IFERROR(AVERAGE(E101:M101),0)</f>
        <v>0.18999999999999997</v>
      </c>
      <c r="O101" s="277">
        <f>IFERROR(AVERAGE(E101:G101),0)</f>
        <v>0.19000000000000003</v>
      </c>
      <c r="P101" s="277">
        <f>IFERROR(AVERAGE(H101:M101),0)</f>
        <v>0.19</v>
      </c>
    </row>
    <row r="102" spans="1:18">
      <c r="A102" s="316"/>
      <c r="B102" s="307"/>
      <c r="C102" s="305"/>
      <c r="D102" s="307" t="s">
        <v>51</v>
      </c>
      <c r="E102" s="297"/>
      <c r="F102" s="297"/>
      <c r="G102" s="297"/>
      <c r="H102" s="297"/>
      <c r="I102" s="297"/>
      <c r="J102" s="297"/>
      <c r="K102" s="303"/>
      <c r="L102" s="303"/>
      <c r="M102" s="303"/>
      <c r="N102" s="277">
        <f>IFERROR(AVERAGE(E102:M102),0)</f>
        <v>0</v>
      </c>
      <c r="O102" s="277">
        <f t="shared" ref="O102:O110" si="36">IFERROR(AVERAGE(E102:G102),0)</f>
        <v>0</v>
      </c>
      <c r="P102" s="277">
        <f t="shared" ref="P102:P110" si="37">IFERROR(AVERAGE(H102:M102),0)</f>
        <v>0</v>
      </c>
    </row>
    <row r="103" spans="1:18">
      <c r="A103" s="296"/>
      <c r="B103" s="301"/>
      <c r="C103" s="302"/>
      <c r="D103" s="301" t="s">
        <v>51</v>
      </c>
      <c r="E103" s="297"/>
      <c r="F103" s="297"/>
      <c r="G103" s="297"/>
      <c r="H103" s="317"/>
      <c r="I103" s="297"/>
      <c r="J103" s="297"/>
      <c r="K103" s="297"/>
      <c r="L103" s="297"/>
      <c r="M103" s="297"/>
      <c r="N103" s="277">
        <f t="shared" si="35"/>
        <v>0</v>
      </c>
      <c r="O103" s="277">
        <f t="shared" si="36"/>
        <v>0</v>
      </c>
      <c r="P103" s="277">
        <f t="shared" si="37"/>
        <v>0</v>
      </c>
    </row>
    <row r="104" spans="1:18">
      <c r="A104" s="288"/>
      <c r="B104" s="307"/>
      <c r="C104" s="307"/>
      <c r="D104" s="301" t="s">
        <v>51</v>
      </c>
      <c r="E104" s="303"/>
      <c r="F104" s="303"/>
      <c r="G104" s="303"/>
      <c r="H104" s="303"/>
      <c r="I104" s="303"/>
      <c r="J104" s="303"/>
      <c r="K104" s="303"/>
      <c r="L104" s="303"/>
      <c r="M104" s="303"/>
      <c r="N104" s="277">
        <f t="shared" si="35"/>
        <v>0</v>
      </c>
      <c r="O104" s="277">
        <f t="shared" si="36"/>
        <v>0</v>
      </c>
      <c r="P104" s="277">
        <f t="shared" si="37"/>
        <v>0</v>
      </c>
    </row>
    <row r="105" spans="1:18">
      <c r="A105" s="288"/>
      <c r="B105" s="307"/>
      <c r="C105" s="307"/>
      <c r="D105" s="301" t="s">
        <v>51</v>
      </c>
      <c r="E105" s="303"/>
      <c r="F105" s="303"/>
      <c r="G105" s="303"/>
      <c r="H105" s="303"/>
      <c r="I105" s="303"/>
      <c r="J105" s="303"/>
      <c r="K105" s="303"/>
      <c r="L105" s="303"/>
      <c r="M105" s="303"/>
      <c r="N105" s="277">
        <f t="shared" si="35"/>
        <v>0</v>
      </c>
      <c r="O105" s="277">
        <f t="shared" si="36"/>
        <v>0</v>
      </c>
      <c r="P105" s="277">
        <f t="shared" si="37"/>
        <v>0</v>
      </c>
    </row>
    <row r="106" spans="1:18">
      <c r="A106" s="288"/>
      <c r="B106" s="307"/>
      <c r="C106" s="307"/>
      <c r="D106" s="301" t="s">
        <v>51</v>
      </c>
      <c r="E106" s="303"/>
      <c r="F106" s="303"/>
      <c r="G106" s="303"/>
      <c r="H106" s="303"/>
      <c r="I106" s="303"/>
      <c r="J106" s="303"/>
      <c r="K106" s="303"/>
      <c r="L106" s="303"/>
      <c r="M106" s="303"/>
      <c r="N106" s="277">
        <f t="shared" si="35"/>
        <v>0</v>
      </c>
      <c r="O106" s="277">
        <f t="shared" si="36"/>
        <v>0</v>
      </c>
      <c r="P106" s="277">
        <f t="shared" si="37"/>
        <v>0</v>
      </c>
    </row>
    <row r="107" spans="1:18">
      <c r="A107" s="288"/>
      <c r="B107" s="307"/>
      <c r="C107" s="307"/>
      <c r="D107" s="301" t="s">
        <v>51</v>
      </c>
      <c r="E107" s="303"/>
      <c r="F107" s="303"/>
      <c r="G107" s="303"/>
      <c r="H107" s="303"/>
      <c r="I107" s="303"/>
      <c r="J107" s="303"/>
      <c r="K107" s="303"/>
      <c r="L107" s="303"/>
      <c r="M107" s="303"/>
      <c r="N107" s="277">
        <f t="shared" si="35"/>
        <v>0</v>
      </c>
      <c r="O107" s="277">
        <f t="shared" si="36"/>
        <v>0</v>
      </c>
      <c r="P107" s="277">
        <f t="shared" si="37"/>
        <v>0</v>
      </c>
    </row>
    <row r="108" spans="1:18">
      <c r="A108" s="288"/>
      <c r="B108" s="307"/>
      <c r="C108" s="307"/>
      <c r="D108" s="301" t="s">
        <v>51</v>
      </c>
      <c r="E108" s="303"/>
      <c r="F108" s="303"/>
      <c r="G108" s="303"/>
      <c r="H108" s="303"/>
      <c r="I108" s="303"/>
      <c r="J108" s="303"/>
      <c r="K108" s="303"/>
      <c r="L108" s="303"/>
      <c r="M108" s="303"/>
      <c r="N108" s="277">
        <f t="shared" ref="N108" si="38">IFERROR(AVERAGE(E108:M108),0)</f>
        <v>0</v>
      </c>
      <c r="O108" s="277">
        <f t="shared" ref="O108" si="39">IFERROR(AVERAGE(E108:G108),0)</f>
        <v>0</v>
      </c>
      <c r="P108" s="277">
        <f t="shared" ref="P108" si="40">IFERROR(AVERAGE(H108:M108),0)</f>
        <v>0</v>
      </c>
    </row>
    <row r="109" spans="1:18">
      <c r="A109" s="288"/>
      <c r="B109" s="312"/>
      <c r="C109" s="312"/>
      <c r="D109" s="301" t="s">
        <v>51</v>
      </c>
      <c r="E109" s="313"/>
      <c r="F109" s="313"/>
      <c r="G109" s="313"/>
      <c r="H109" s="313"/>
      <c r="I109" s="313"/>
      <c r="J109" s="313"/>
      <c r="K109" s="313"/>
      <c r="L109" s="313"/>
      <c r="M109" s="313"/>
      <c r="N109" s="277">
        <f t="shared" si="35"/>
        <v>0</v>
      </c>
      <c r="O109" s="277">
        <f t="shared" si="36"/>
        <v>0</v>
      </c>
      <c r="P109" s="277">
        <f t="shared" si="37"/>
        <v>0</v>
      </c>
    </row>
    <row r="110" spans="1:18">
      <c r="A110" s="288"/>
      <c r="B110" s="304"/>
      <c r="C110" s="307"/>
      <c r="D110" s="301" t="s">
        <v>51</v>
      </c>
      <c r="E110" s="314"/>
      <c r="F110" s="314"/>
      <c r="G110" s="314"/>
      <c r="H110" s="303"/>
      <c r="I110" s="303"/>
      <c r="J110" s="303"/>
      <c r="K110" s="303"/>
      <c r="L110" s="303"/>
      <c r="M110" s="303"/>
      <c r="N110" s="277">
        <f t="shared" si="35"/>
        <v>0</v>
      </c>
      <c r="O110" s="277">
        <f t="shared" si="36"/>
        <v>0</v>
      </c>
      <c r="P110" s="277">
        <f t="shared" si="37"/>
        <v>0</v>
      </c>
    </row>
    <row r="112" spans="1:18" ht="52">
      <c r="A112" s="282" t="s">
        <v>68</v>
      </c>
      <c r="B112" s="269" t="s">
        <v>46</v>
      </c>
      <c r="C112" s="270" t="s">
        <v>47</v>
      </c>
      <c r="D112" s="269" t="s">
        <v>48</v>
      </c>
      <c r="E112" s="270" t="s">
        <v>95</v>
      </c>
      <c r="F112" s="270" t="s">
        <v>96</v>
      </c>
      <c r="G112" s="270" t="s">
        <v>97</v>
      </c>
      <c r="H112" s="270" t="s">
        <v>98</v>
      </c>
      <c r="I112" s="271" t="s">
        <v>99</v>
      </c>
      <c r="J112" s="270" t="s">
        <v>100</v>
      </c>
      <c r="K112" s="270" t="s">
        <v>101</v>
      </c>
      <c r="L112" s="270" t="s">
        <v>102</v>
      </c>
      <c r="M112" s="270" t="s">
        <v>103</v>
      </c>
      <c r="N112" s="270" t="s">
        <v>192</v>
      </c>
      <c r="O112" s="270" t="s">
        <v>210</v>
      </c>
      <c r="P112" s="270" t="s">
        <v>211</v>
      </c>
    </row>
    <row r="113" spans="1:18">
      <c r="A113" s="272" t="str">
        <f>"Mittelwert "&amp;A112</f>
        <v>Mittelwert Kittel verstärkt</v>
      </c>
      <c r="B113" s="273"/>
      <c r="C113" s="274"/>
      <c r="D113" s="274"/>
      <c r="E113" s="275">
        <f>IF(IFERROR(AVERAGE(E114:E123),0)=0,"",IFERROR(AVERAGE(E114:E123),0))</f>
        <v>0.32</v>
      </c>
      <c r="F113" s="275">
        <f t="shared" ref="F113:M113" si="41">IF(IFERROR(AVERAGE(F114:F123),0)=0,"",IFERROR(AVERAGE(F114:F123),0))</f>
        <v>0.32</v>
      </c>
      <c r="G113" s="275">
        <f t="shared" si="41"/>
        <v>0.32</v>
      </c>
      <c r="H113" s="275">
        <f t="shared" si="41"/>
        <v>0.32</v>
      </c>
      <c r="I113" s="275">
        <f t="shared" si="41"/>
        <v>0.32</v>
      </c>
      <c r="J113" s="275">
        <f t="shared" si="41"/>
        <v>0.32</v>
      </c>
      <c r="K113" s="275">
        <f t="shared" si="41"/>
        <v>0.32</v>
      </c>
      <c r="L113" s="275">
        <f t="shared" si="41"/>
        <v>0.32</v>
      </c>
      <c r="M113" s="275" t="str">
        <f t="shared" si="41"/>
        <v/>
      </c>
      <c r="N113" s="275">
        <f>IFERROR(AVERAGE(E113:M113),0)</f>
        <v>0.32</v>
      </c>
      <c r="O113" s="275">
        <f>IFERROR(AVERAGE(E113:G113),0)</f>
        <v>0.32</v>
      </c>
      <c r="P113" s="275">
        <f>IFERROR(AVERAGE(H113:M113),0)</f>
        <v>0.32</v>
      </c>
      <c r="Q113" s="58"/>
      <c r="R113" s="276"/>
    </row>
    <row r="114" spans="1:18">
      <c r="A114" s="288" t="s">
        <v>68</v>
      </c>
      <c r="B114" s="307" t="s">
        <v>135</v>
      </c>
      <c r="C114" s="305" t="s">
        <v>143</v>
      </c>
      <c r="D114" s="301" t="s">
        <v>51</v>
      </c>
      <c r="E114" s="297">
        <v>0.32</v>
      </c>
      <c r="F114" s="297">
        <v>0.32</v>
      </c>
      <c r="G114" s="297">
        <v>0.32</v>
      </c>
      <c r="H114" s="297">
        <v>0.32</v>
      </c>
      <c r="I114" s="297">
        <v>0.32</v>
      </c>
      <c r="J114" s="297">
        <v>0.32</v>
      </c>
      <c r="K114" s="297">
        <v>0.32</v>
      </c>
      <c r="L114" s="297">
        <v>0.32</v>
      </c>
      <c r="M114" s="297"/>
      <c r="N114" s="277">
        <f t="shared" ref="N114:N123" si="42">IFERROR(AVERAGE(E114:M114),0)</f>
        <v>0.32</v>
      </c>
      <c r="O114" s="277">
        <f>IFERROR(AVERAGE(E114:G114),0)</f>
        <v>0.32</v>
      </c>
      <c r="P114" s="277">
        <f>IFERROR(AVERAGE(H114:M114),0)</f>
        <v>0.32</v>
      </c>
    </row>
    <row r="115" spans="1:18">
      <c r="A115" s="288"/>
      <c r="B115" s="307"/>
      <c r="C115" s="305"/>
      <c r="D115" s="301" t="s">
        <v>51</v>
      </c>
      <c r="E115" s="297"/>
      <c r="F115" s="297"/>
      <c r="G115" s="297"/>
      <c r="H115" s="297"/>
      <c r="I115" s="297"/>
      <c r="J115" s="297"/>
      <c r="K115" s="297"/>
      <c r="L115" s="297"/>
      <c r="M115" s="297"/>
      <c r="N115" s="277">
        <f>IFERROR(AVERAGE(E115:M115),0)</f>
        <v>0</v>
      </c>
      <c r="O115" s="277">
        <f t="shared" ref="O115:O123" si="43">IFERROR(AVERAGE(E115:G115),0)</f>
        <v>0</v>
      </c>
      <c r="P115" s="277">
        <f t="shared" ref="P115:P123" si="44">IFERROR(AVERAGE(H115:M115),0)</f>
        <v>0</v>
      </c>
    </row>
    <row r="116" spans="1:18">
      <c r="A116" s="316"/>
      <c r="B116" s="307"/>
      <c r="C116" s="305"/>
      <c r="D116" s="307" t="s">
        <v>51</v>
      </c>
      <c r="E116" s="297"/>
      <c r="F116" s="297"/>
      <c r="G116" s="297"/>
      <c r="H116" s="297"/>
      <c r="I116" s="297"/>
      <c r="J116" s="297"/>
      <c r="K116" s="303"/>
      <c r="L116" s="303"/>
      <c r="M116" s="303"/>
      <c r="N116" s="277">
        <f t="shared" si="42"/>
        <v>0</v>
      </c>
      <c r="O116" s="277">
        <f t="shared" si="43"/>
        <v>0</v>
      </c>
      <c r="P116" s="277">
        <f t="shared" si="44"/>
        <v>0</v>
      </c>
    </row>
    <row r="117" spans="1:18">
      <c r="A117" s="296"/>
      <c r="B117" s="301"/>
      <c r="C117" s="302"/>
      <c r="D117" s="301" t="s">
        <v>51</v>
      </c>
      <c r="E117" s="297"/>
      <c r="F117" s="297"/>
      <c r="G117" s="297"/>
      <c r="H117" s="297"/>
      <c r="I117" s="297"/>
      <c r="J117" s="297"/>
      <c r="K117" s="297"/>
      <c r="L117" s="297"/>
      <c r="M117" s="297"/>
      <c r="N117" s="277">
        <f t="shared" si="42"/>
        <v>0</v>
      </c>
      <c r="O117" s="277">
        <f t="shared" si="43"/>
        <v>0</v>
      </c>
      <c r="P117" s="277">
        <f t="shared" si="44"/>
        <v>0</v>
      </c>
    </row>
    <row r="118" spans="1:18">
      <c r="A118" s="288"/>
      <c r="B118" s="307"/>
      <c r="C118" s="307"/>
      <c r="D118" s="301" t="s">
        <v>51</v>
      </c>
      <c r="E118" s="303"/>
      <c r="F118" s="303"/>
      <c r="G118" s="303"/>
      <c r="H118" s="303"/>
      <c r="I118" s="303"/>
      <c r="J118" s="303"/>
      <c r="K118" s="303"/>
      <c r="L118" s="303"/>
      <c r="M118" s="303"/>
      <c r="N118" s="277">
        <f t="shared" si="42"/>
        <v>0</v>
      </c>
      <c r="O118" s="277">
        <f t="shared" si="43"/>
        <v>0</v>
      </c>
      <c r="P118" s="277">
        <f t="shared" si="44"/>
        <v>0</v>
      </c>
    </row>
    <row r="119" spans="1:18">
      <c r="A119" s="288"/>
      <c r="B119" s="307"/>
      <c r="C119" s="307"/>
      <c r="D119" s="301" t="s">
        <v>51</v>
      </c>
      <c r="E119" s="303"/>
      <c r="F119" s="303"/>
      <c r="G119" s="303"/>
      <c r="H119" s="303"/>
      <c r="I119" s="303"/>
      <c r="J119" s="303"/>
      <c r="K119" s="303"/>
      <c r="L119" s="303"/>
      <c r="M119" s="303"/>
      <c r="N119" s="277">
        <f t="shared" si="42"/>
        <v>0</v>
      </c>
      <c r="O119" s="277">
        <f t="shared" si="43"/>
        <v>0</v>
      </c>
      <c r="P119" s="277">
        <f t="shared" si="44"/>
        <v>0</v>
      </c>
    </row>
    <row r="120" spans="1:18">
      <c r="A120" s="288"/>
      <c r="B120" s="307"/>
      <c r="C120" s="307"/>
      <c r="D120" s="301" t="s">
        <v>51</v>
      </c>
      <c r="E120" s="303"/>
      <c r="F120" s="303"/>
      <c r="G120" s="303"/>
      <c r="H120" s="303"/>
      <c r="I120" s="303"/>
      <c r="J120" s="303"/>
      <c r="K120" s="303"/>
      <c r="L120" s="303"/>
      <c r="M120" s="303"/>
      <c r="N120" s="277">
        <f t="shared" ref="N120:N122" si="45">IFERROR(AVERAGE(E120:M120),0)</f>
        <v>0</v>
      </c>
      <c r="O120" s="277">
        <f t="shared" ref="O120:O122" si="46">IFERROR(AVERAGE(E120:G120),0)</f>
        <v>0</v>
      </c>
      <c r="P120" s="277">
        <f t="shared" ref="P120:P122" si="47">IFERROR(AVERAGE(H120:M120),0)</f>
        <v>0</v>
      </c>
    </row>
    <row r="121" spans="1:18">
      <c r="A121" s="288"/>
      <c r="B121" s="307"/>
      <c r="C121" s="307"/>
      <c r="D121" s="301" t="s">
        <v>51</v>
      </c>
      <c r="E121" s="303"/>
      <c r="F121" s="303"/>
      <c r="G121" s="303"/>
      <c r="H121" s="303"/>
      <c r="I121" s="303"/>
      <c r="J121" s="303"/>
      <c r="K121" s="303"/>
      <c r="L121" s="303"/>
      <c r="M121" s="303"/>
      <c r="N121" s="277">
        <f t="shared" si="45"/>
        <v>0</v>
      </c>
      <c r="O121" s="277">
        <f t="shared" si="46"/>
        <v>0</v>
      </c>
      <c r="P121" s="277">
        <f t="shared" si="47"/>
        <v>0</v>
      </c>
    </row>
    <row r="122" spans="1:18">
      <c r="A122" s="288"/>
      <c r="B122" s="312"/>
      <c r="C122" s="312"/>
      <c r="D122" s="301" t="s">
        <v>51</v>
      </c>
      <c r="E122" s="313"/>
      <c r="F122" s="313"/>
      <c r="G122" s="313"/>
      <c r="H122" s="313"/>
      <c r="I122" s="313"/>
      <c r="J122" s="313"/>
      <c r="K122" s="313"/>
      <c r="L122" s="313"/>
      <c r="M122" s="313"/>
      <c r="N122" s="277">
        <f t="shared" si="45"/>
        <v>0</v>
      </c>
      <c r="O122" s="277">
        <f t="shared" si="46"/>
        <v>0</v>
      </c>
      <c r="P122" s="277">
        <f t="shared" si="47"/>
        <v>0</v>
      </c>
    </row>
    <row r="123" spans="1:18">
      <c r="A123" s="288"/>
      <c r="B123" s="304"/>
      <c r="C123" s="307"/>
      <c r="D123" s="301" t="s">
        <v>51</v>
      </c>
      <c r="E123" s="314"/>
      <c r="F123" s="314"/>
      <c r="G123" s="314"/>
      <c r="H123" s="303"/>
      <c r="I123" s="303"/>
      <c r="J123" s="303"/>
      <c r="K123" s="303"/>
      <c r="L123" s="303"/>
      <c r="M123" s="303"/>
      <c r="N123" s="277">
        <f t="shared" si="42"/>
        <v>0</v>
      </c>
      <c r="O123" s="277">
        <f t="shared" si="43"/>
        <v>0</v>
      </c>
      <c r="P123" s="277">
        <f t="shared" si="44"/>
        <v>0</v>
      </c>
    </row>
    <row r="125" spans="1:18" ht="52">
      <c r="A125" s="282" t="s">
        <v>69</v>
      </c>
      <c r="B125" s="269" t="s">
        <v>46</v>
      </c>
      <c r="C125" s="270" t="s">
        <v>47</v>
      </c>
      <c r="D125" s="269" t="s">
        <v>48</v>
      </c>
      <c r="E125" s="270" t="s">
        <v>95</v>
      </c>
      <c r="F125" s="270" t="s">
        <v>96</v>
      </c>
      <c r="G125" s="270" t="s">
        <v>97</v>
      </c>
      <c r="H125" s="270" t="s">
        <v>98</v>
      </c>
      <c r="I125" s="271" t="s">
        <v>99</v>
      </c>
      <c r="J125" s="270" t="s">
        <v>100</v>
      </c>
      <c r="K125" s="270" t="s">
        <v>101</v>
      </c>
      <c r="L125" s="270" t="s">
        <v>102</v>
      </c>
      <c r="M125" s="270" t="s">
        <v>103</v>
      </c>
      <c r="N125" s="270" t="s">
        <v>192</v>
      </c>
      <c r="O125" s="270" t="s">
        <v>210</v>
      </c>
      <c r="P125" s="270" t="s">
        <v>211</v>
      </c>
    </row>
    <row r="126" spans="1:18">
      <c r="A126" s="272" t="str">
        <f>"Mittelwert "&amp;A125</f>
        <v>Mittelwert Sichtschutz/-brille</v>
      </c>
      <c r="B126" s="273"/>
      <c r="C126" s="274"/>
      <c r="D126" s="274"/>
      <c r="E126" s="275">
        <f t="shared" ref="E126:M126" si="48">IF(IFERROR(AVERAGE(E127:E136),0)=0,"",IFERROR(AVERAGE(E127:E136),0))</f>
        <v>2.8</v>
      </c>
      <c r="F126" s="275">
        <f t="shared" si="48"/>
        <v>2.8</v>
      </c>
      <c r="G126" s="275">
        <f t="shared" si="48"/>
        <v>2.8</v>
      </c>
      <c r="H126" s="275">
        <f t="shared" si="48"/>
        <v>2.8</v>
      </c>
      <c r="I126" s="275">
        <f t="shared" si="48"/>
        <v>2.8</v>
      </c>
      <c r="J126" s="275">
        <f t="shared" si="48"/>
        <v>2.8</v>
      </c>
      <c r="K126" s="275">
        <f t="shared" si="48"/>
        <v>2.8</v>
      </c>
      <c r="L126" s="275">
        <f t="shared" si="48"/>
        <v>2.8</v>
      </c>
      <c r="M126" s="275" t="str">
        <f t="shared" si="48"/>
        <v/>
      </c>
      <c r="N126" s="275">
        <f>IFERROR(AVERAGE(E126:M126),0)</f>
        <v>2.8000000000000003</v>
      </c>
      <c r="O126" s="275">
        <f>IFERROR(AVERAGE(E126:G126),0)</f>
        <v>2.7999999999999994</v>
      </c>
      <c r="P126" s="275">
        <f>IFERROR(AVERAGE(H126:M126),0)</f>
        <v>2.8</v>
      </c>
      <c r="Q126" s="58"/>
      <c r="R126" s="276"/>
    </row>
    <row r="127" spans="1:18">
      <c r="A127" s="288" t="s">
        <v>69</v>
      </c>
      <c r="B127" s="289" t="s">
        <v>144</v>
      </c>
      <c r="C127" s="290">
        <v>820310</v>
      </c>
      <c r="D127" s="288" t="s">
        <v>51</v>
      </c>
      <c r="E127" s="291">
        <v>2.8</v>
      </c>
      <c r="F127" s="291">
        <v>2.8</v>
      </c>
      <c r="G127" s="291">
        <v>2.8</v>
      </c>
      <c r="H127" s="291">
        <v>2.8</v>
      </c>
      <c r="I127" s="291">
        <v>2.8</v>
      </c>
      <c r="J127" s="291">
        <v>2.8</v>
      </c>
      <c r="K127" s="291">
        <v>2.8</v>
      </c>
      <c r="L127" s="291">
        <v>2.8</v>
      </c>
      <c r="M127" s="291"/>
      <c r="N127" s="277">
        <f t="shared" ref="N127:N136" si="49">IFERROR(AVERAGE(E127:M127),0)</f>
        <v>2.8000000000000003</v>
      </c>
      <c r="O127" s="277">
        <f>IFERROR(AVERAGE(E127:G127),0)</f>
        <v>2.7999999999999994</v>
      </c>
      <c r="P127" s="277">
        <f>IFERROR(AVERAGE(H127:M127),0)</f>
        <v>2.8</v>
      </c>
    </row>
    <row r="128" spans="1:18">
      <c r="A128" s="288"/>
      <c r="B128" s="293"/>
      <c r="C128" s="289"/>
      <c r="D128" s="288" t="s">
        <v>51</v>
      </c>
      <c r="E128" s="291"/>
      <c r="F128" s="291"/>
      <c r="G128" s="291"/>
      <c r="H128" s="291"/>
      <c r="I128" s="291"/>
      <c r="J128" s="291"/>
      <c r="K128" s="291"/>
      <c r="L128" s="291"/>
      <c r="M128" s="291"/>
      <c r="N128" s="277">
        <f>IFERROR(AVERAGE(E128:M128),0)</f>
        <v>0</v>
      </c>
      <c r="O128" s="277">
        <f t="shared" ref="O128:O136" si="50">IFERROR(AVERAGE(E128:G128),0)</f>
        <v>0</v>
      </c>
      <c r="P128" s="277">
        <f t="shared" ref="P128:P136" si="51">IFERROR(AVERAGE(H128:M128),0)</f>
        <v>0</v>
      </c>
    </row>
    <row r="129" spans="1:19">
      <c r="A129" s="315"/>
      <c r="B129" s="289"/>
      <c r="C129" s="289"/>
      <c r="D129" s="288" t="s">
        <v>51</v>
      </c>
      <c r="E129" s="291"/>
      <c r="F129" s="291"/>
      <c r="G129" s="291"/>
      <c r="H129" s="291"/>
      <c r="I129" s="291"/>
      <c r="J129" s="291"/>
      <c r="K129" s="291"/>
      <c r="L129" s="291"/>
      <c r="M129" s="291"/>
      <c r="N129" s="277">
        <f t="shared" si="49"/>
        <v>0</v>
      </c>
      <c r="O129" s="277">
        <f t="shared" si="50"/>
        <v>0</v>
      </c>
      <c r="P129" s="277">
        <f t="shared" si="51"/>
        <v>0</v>
      </c>
    </row>
    <row r="130" spans="1:19">
      <c r="A130" s="315"/>
      <c r="B130" s="289"/>
      <c r="C130" s="289"/>
      <c r="D130" s="288" t="s">
        <v>51</v>
      </c>
      <c r="E130" s="291"/>
      <c r="F130" s="291"/>
      <c r="G130" s="291"/>
      <c r="H130" s="291"/>
      <c r="I130" s="291"/>
      <c r="J130" s="291"/>
      <c r="K130" s="292"/>
      <c r="L130" s="292"/>
      <c r="M130" s="292"/>
      <c r="N130" s="277">
        <f t="shared" si="49"/>
        <v>0</v>
      </c>
      <c r="O130" s="277">
        <f t="shared" si="50"/>
        <v>0</v>
      </c>
      <c r="P130" s="277">
        <f t="shared" si="51"/>
        <v>0</v>
      </c>
    </row>
    <row r="131" spans="1:19">
      <c r="A131" s="288"/>
      <c r="B131" s="288"/>
      <c r="C131" s="296"/>
      <c r="D131" s="288" t="s">
        <v>51</v>
      </c>
      <c r="E131" s="297"/>
      <c r="F131" s="297"/>
      <c r="G131" s="297"/>
      <c r="H131" s="297"/>
      <c r="I131" s="297"/>
      <c r="J131" s="297"/>
      <c r="K131" s="297"/>
      <c r="L131" s="297"/>
      <c r="M131" s="291"/>
      <c r="N131" s="277">
        <f t="shared" si="49"/>
        <v>0</v>
      </c>
      <c r="O131" s="277">
        <f t="shared" si="50"/>
        <v>0</v>
      </c>
      <c r="P131" s="277">
        <f t="shared" si="51"/>
        <v>0</v>
      </c>
    </row>
    <row r="132" spans="1:19">
      <c r="A132" s="288"/>
      <c r="B132" s="288"/>
      <c r="C132" s="296"/>
      <c r="D132" s="288" t="s">
        <v>51</v>
      </c>
      <c r="E132" s="297"/>
      <c r="F132" s="297"/>
      <c r="G132" s="297"/>
      <c r="H132" s="297"/>
      <c r="I132" s="297"/>
      <c r="J132" s="297"/>
      <c r="K132" s="297"/>
      <c r="L132" s="297"/>
      <c r="M132" s="291"/>
      <c r="N132" s="277">
        <f t="shared" si="49"/>
        <v>0</v>
      </c>
      <c r="O132" s="277">
        <f t="shared" si="50"/>
        <v>0</v>
      </c>
      <c r="P132" s="277">
        <f t="shared" si="51"/>
        <v>0</v>
      </c>
    </row>
    <row r="133" spans="1:19">
      <c r="A133" s="288"/>
      <c r="B133" s="288"/>
      <c r="C133" s="296"/>
      <c r="D133" s="288" t="s">
        <v>51</v>
      </c>
      <c r="E133" s="297"/>
      <c r="F133" s="297"/>
      <c r="G133" s="297"/>
      <c r="H133" s="297"/>
      <c r="I133" s="297"/>
      <c r="J133" s="297"/>
      <c r="K133" s="297"/>
      <c r="L133" s="297"/>
      <c r="M133" s="291"/>
      <c r="N133" s="277">
        <f t="shared" si="49"/>
        <v>0</v>
      </c>
      <c r="O133" s="277">
        <f t="shared" si="50"/>
        <v>0</v>
      </c>
      <c r="P133" s="277">
        <f t="shared" si="51"/>
        <v>0</v>
      </c>
    </row>
    <row r="134" spans="1:19">
      <c r="A134" s="288"/>
      <c r="B134" s="289"/>
      <c r="C134" s="290"/>
      <c r="D134" s="288" t="s">
        <v>51</v>
      </c>
      <c r="E134" s="297"/>
      <c r="F134" s="297"/>
      <c r="G134" s="297"/>
      <c r="H134" s="297"/>
      <c r="I134" s="297"/>
      <c r="J134" s="297"/>
      <c r="K134" s="297"/>
      <c r="L134" s="297"/>
      <c r="M134" s="291"/>
      <c r="N134" s="277">
        <f t="shared" si="49"/>
        <v>0</v>
      </c>
      <c r="O134" s="277">
        <f t="shared" si="50"/>
        <v>0</v>
      </c>
      <c r="P134" s="277">
        <f t="shared" si="51"/>
        <v>0</v>
      </c>
    </row>
    <row r="135" spans="1:19" s="268" customFormat="1">
      <c r="A135" s="288"/>
      <c r="B135" s="289"/>
      <c r="C135" s="289"/>
      <c r="D135" s="288" t="s">
        <v>51</v>
      </c>
      <c r="E135" s="297"/>
      <c r="F135" s="297"/>
      <c r="G135" s="297"/>
      <c r="H135" s="297"/>
      <c r="I135" s="297"/>
      <c r="J135" s="297"/>
      <c r="K135" s="297"/>
      <c r="L135" s="297"/>
      <c r="M135" s="291"/>
      <c r="N135" s="277">
        <f t="shared" si="49"/>
        <v>0</v>
      </c>
      <c r="O135" s="277">
        <f t="shared" si="50"/>
        <v>0</v>
      </c>
      <c r="P135" s="277">
        <f t="shared" si="51"/>
        <v>0</v>
      </c>
      <c r="R135" s="58"/>
      <c r="S135" s="58"/>
    </row>
    <row r="136" spans="1:19" s="268" customFormat="1">
      <c r="A136" s="288"/>
      <c r="B136" s="289"/>
      <c r="C136" s="289"/>
      <c r="D136" s="288" t="s">
        <v>51</v>
      </c>
      <c r="E136" s="292"/>
      <c r="F136" s="292"/>
      <c r="G136" s="292"/>
      <c r="H136" s="292"/>
      <c r="I136" s="292"/>
      <c r="J136" s="292"/>
      <c r="K136" s="292"/>
      <c r="L136" s="292"/>
      <c r="M136" s="292"/>
      <c r="N136" s="277">
        <f t="shared" si="49"/>
        <v>0</v>
      </c>
      <c r="O136" s="277">
        <f t="shared" si="50"/>
        <v>0</v>
      </c>
      <c r="P136" s="277">
        <f t="shared" si="51"/>
        <v>0</v>
      </c>
      <c r="R136" s="58"/>
      <c r="S136" s="58"/>
    </row>
  </sheetData>
  <sheetProtection algorithmName="SHA-512" hashValue="Eq+s+mDgxmyfu8CciJ+Owz/DUUempEAwodmeVFnzu0NBaTMZj1qzBvdyw8Xf6p4EVO00UskyG1ODpVPffq07ZQ==" saltValue="HHYPrfCvprb9/dD5h9vRpQ==" spinCount="100000" sheet="1" objects="1" scenarios="1"/>
  <pageMargins left="0.7" right="0.7" top="0.78740157499999996" bottom="0.78740157499999996" header="0.3" footer="0.3"/>
  <pageSetup paperSize="9" scale="5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1749EE-D784-4868-B821-D519048088D8}">
  <sheetPr>
    <tabColor theme="2"/>
  </sheetPr>
  <dimension ref="B1:V41"/>
  <sheetViews>
    <sheetView tabSelected="1" zoomScale="85" zoomScaleNormal="85" workbookViewId="0">
      <selection activeCell="L36" sqref="L36"/>
    </sheetView>
  </sheetViews>
  <sheetFormatPr baseColWidth="10" defaultColWidth="10.54296875" defaultRowHeight="14.5" outlineLevelCol="1"/>
  <cols>
    <col min="1" max="1" width="10.54296875" style="120"/>
    <col min="2" max="2" width="12.81640625" style="120" bestFit="1" customWidth="1"/>
    <col min="3" max="3" width="10.1796875" style="120" bestFit="1" customWidth="1"/>
    <col min="4" max="4" width="8.54296875" style="120" bestFit="1" customWidth="1"/>
    <col min="5" max="5" width="10.1796875" style="120" bestFit="1" customWidth="1"/>
    <col min="6" max="6" width="8.54296875" style="120" bestFit="1" customWidth="1"/>
    <col min="7" max="8" width="10.1796875" style="120" bestFit="1" customWidth="1"/>
    <col min="9" max="9" width="10.26953125" style="120" bestFit="1" customWidth="1"/>
    <col min="10" max="10" width="8.54296875" style="120" bestFit="1" customWidth="1"/>
    <col min="11" max="11" width="12.1796875" style="120" bestFit="1" customWidth="1"/>
    <col min="12" max="12" width="13.453125" style="120" customWidth="1"/>
    <col min="13" max="13" width="8.81640625" style="120" hidden="1" customWidth="1" outlineLevel="1"/>
    <col min="14" max="14" width="13.453125" style="120" hidden="1" customWidth="1" outlineLevel="1"/>
    <col min="15" max="15" width="9" style="120" hidden="1" customWidth="1" outlineLevel="1"/>
    <col min="16" max="19" width="10.54296875" style="120" hidden="1" customWidth="1" outlineLevel="1"/>
    <col min="20" max="20" width="18" style="120" hidden="1" customWidth="1" outlineLevel="1"/>
    <col min="21" max="21" width="10.54296875" style="120" hidden="1" customWidth="1" outlineLevel="1"/>
    <col min="22" max="22" width="10.54296875" style="120" collapsed="1"/>
    <col min="23" max="16384" width="10.54296875" style="120"/>
  </cols>
  <sheetData>
    <row r="1" spans="2:21">
      <c r="N1" s="192" t="s">
        <v>189</v>
      </c>
    </row>
    <row r="3" spans="2:21">
      <c r="N3" s="191" t="s">
        <v>188</v>
      </c>
      <c r="T3" s="191" t="s">
        <v>188</v>
      </c>
    </row>
    <row r="4" spans="2:21">
      <c r="N4" s="190" t="s">
        <v>281</v>
      </c>
      <c r="T4" s="190" t="s">
        <v>286</v>
      </c>
    </row>
    <row r="5" spans="2:21" ht="26">
      <c r="M5" s="119" t="s">
        <v>183</v>
      </c>
      <c r="N5" s="189" t="s">
        <v>49</v>
      </c>
      <c r="O5" s="193">
        <f ca="1">MIN(INDIRECT($N$1&amp;N4,TRUE))</f>
        <v>9.4999999999999998E-3</v>
      </c>
      <c r="S5" s="119" t="s">
        <v>183</v>
      </c>
      <c r="T5" s="181" t="s">
        <v>63</v>
      </c>
      <c r="U5" s="193">
        <f ca="1">MIN(INDIRECT($N$1&amp;T4,TRUE))</f>
        <v>2.2499999999999999E-2</v>
      </c>
    </row>
    <row r="6" spans="2:21">
      <c r="M6" s="185" t="s">
        <v>184</v>
      </c>
      <c r="N6" s="186">
        <f ca="1">_xlfn.QUARTILE.INC(INDIRECT($N$1&amp;N4,TRUE),1)</f>
        <v>4.2000000000000003E-2</v>
      </c>
      <c r="O6" s="187">
        <f ca="1">N6-O5</f>
        <v>3.2500000000000001E-2</v>
      </c>
      <c r="S6" s="185" t="s">
        <v>184</v>
      </c>
      <c r="T6" s="186">
        <f ca="1">_xlfn.QUARTILE.INC(INDIRECT($N$1&amp;T4,TRUE),1)</f>
        <v>2.2499999999999999E-2</v>
      </c>
      <c r="U6" s="187">
        <f ca="1">T6-U5</f>
        <v>0</v>
      </c>
    </row>
    <row r="7" spans="2:21">
      <c r="M7" s="185" t="s">
        <v>185</v>
      </c>
      <c r="N7" s="186">
        <f ca="1">MEDIAN(INDIRECT($N$1&amp;N4,TRUE))</f>
        <v>6.0248163265306118E-2</v>
      </c>
      <c r="O7" s="187">
        <f ca="1">N7-N6</f>
        <v>1.8248163265306115E-2</v>
      </c>
      <c r="S7" s="185" t="s">
        <v>185</v>
      </c>
      <c r="T7" s="186">
        <f ca="1">MEDIAN(INDIRECT($N$1&amp;T4,TRUE))</f>
        <v>2.2499999999999999E-2</v>
      </c>
      <c r="U7" s="187">
        <f ca="1">T7-T6</f>
        <v>0</v>
      </c>
    </row>
    <row r="8" spans="2:21">
      <c r="M8" s="185" t="s">
        <v>186</v>
      </c>
      <c r="N8" s="186">
        <f ca="1">_xlfn.QUARTILE.INC(INDIRECT($N$1&amp;N4,TRUE),3)</f>
        <v>8.5681818181818192E-2</v>
      </c>
      <c r="O8" s="187">
        <f ca="1">N8-N7</f>
        <v>2.5433654916512075E-2</v>
      </c>
      <c r="S8" s="185" t="s">
        <v>186</v>
      </c>
      <c r="T8" s="186">
        <f ca="1">_xlfn.QUARTILE.INC(INDIRECT($N$1&amp;T4,TRUE),3)</f>
        <v>4.4499999999999998E-2</v>
      </c>
      <c r="U8" s="187">
        <f ca="1">T8-T7</f>
        <v>2.1999999999999999E-2</v>
      </c>
    </row>
    <row r="9" spans="2:21">
      <c r="M9" s="119" t="s">
        <v>187</v>
      </c>
      <c r="N9" s="194">
        <f ca="1">MAX(INDIRECT($N$1&amp;N4,TRUE))</f>
        <v>0.67900000000000005</v>
      </c>
      <c r="O9" s="188">
        <f ca="1">N9-N8</f>
        <v>0.59331818181818186</v>
      </c>
      <c r="S9" s="119" t="s">
        <v>187</v>
      </c>
      <c r="T9" s="194">
        <f ca="1">MAX(INDIRECT($N$1&amp;T4,TRUE))</f>
        <v>6.1890000000000001E-2</v>
      </c>
      <c r="U9" s="188">
        <f ca="1">T9-T8</f>
        <v>1.7390000000000003E-2</v>
      </c>
    </row>
    <row r="10" spans="2:21" ht="52">
      <c r="B10" s="189" t="s">
        <v>49</v>
      </c>
      <c r="C10" s="181" t="s">
        <v>54</v>
      </c>
      <c r="D10" s="181" t="s">
        <v>57</v>
      </c>
      <c r="E10" s="181" t="s">
        <v>59</v>
      </c>
      <c r="F10" s="181" t="s">
        <v>61</v>
      </c>
      <c r="G10" s="181" t="s">
        <v>63</v>
      </c>
      <c r="H10" s="181" t="s">
        <v>66</v>
      </c>
      <c r="I10" s="181" t="s">
        <v>67</v>
      </c>
      <c r="J10" s="181" t="s">
        <v>68</v>
      </c>
      <c r="K10" s="181" t="s">
        <v>69</v>
      </c>
    </row>
    <row r="11" spans="2:21">
      <c r="B11" s="120" cm="1">
        <f t="array" aca="1" ref="B11:B15" ca="1">O5:O9</f>
        <v>9.4999999999999998E-3</v>
      </c>
      <c r="C11" s="120" cm="1">
        <f t="array" aca="1" ref="C11:C15" ca="1">O13:O17</f>
        <v>0.57499999999999996</v>
      </c>
      <c r="D11" s="120" cm="1">
        <f t="array" aca="1" ref="D11:D15" ca="1">O21:O25</f>
        <v>0.64</v>
      </c>
      <c r="E11" s="120" cm="1">
        <f t="array" aca="1" ref="E11:E15" ca="1">O29:O33</f>
        <v>0.83</v>
      </c>
      <c r="F11" s="120" cm="1">
        <f t="array" aca="1" ref="F11:F15" ca="1">O37:O41</f>
        <v>0.94</v>
      </c>
      <c r="G11" s="120" cm="1">
        <f t="array" aca="1" ref="G11:G15" ca="1">U5:U9</f>
        <v>2.2499999999999999E-2</v>
      </c>
      <c r="H11" s="120" cm="1">
        <f t="array" aca="1" ref="H11:H15" ca="1">U13:U17</f>
        <v>2.1999999999999999E-2</v>
      </c>
      <c r="I11" s="120" cm="1">
        <f t="array" aca="1" ref="I11:I15" ca="1">U21:U25</f>
        <v>0.19</v>
      </c>
      <c r="J11" s="120" cm="1">
        <f t="array" aca="1" ref="J11:J15" ca="1">U29:U33</f>
        <v>0.32</v>
      </c>
      <c r="K11" s="120" cm="1">
        <f t="array" aca="1" ref="K11:K15" ca="1">U37:U41</f>
        <v>0.71</v>
      </c>
      <c r="N11" s="191" t="s">
        <v>188</v>
      </c>
      <c r="T11" s="191" t="s">
        <v>188</v>
      </c>
    </row>
    <row r="12" spans="2:21">
      <c r="B12" s="120">
        <f ca="1"/>
        <v>3.2500000000000001E-2</v>
      </c>
      <c r="C12" s="120">
        <f ca="1"/>
        <v>0.92147000000000001</v>
      </c>
      <c r="D12" s="120">
        <f ca="1"/>
        <v>1.46</v>
      </c>
      <c r="E12" s="120">
        <f ca="1"/>
        <v>0.198125</v>
      </c>
      <c r="F12" s="120">
        <f ca="1"/>
        <v>1.3210000000000002</v>
      </c>
      <c r="G12" s="120">
        <f ca="1"/>
        <v>0</v>
      </c>
      <c r="H12" s="120">
        <f ca="1"/>
        <v>3.1000000000000021E-3</v>
      </c>
      <c r="I12" s="120">
        <f ca="1"/>
        <v>0.13</v>
      </c>
      <c r="J12" s="120">
        <f ca="1"/>
        <v>0</v>
      </c>
      <c r="K12" s="120">
        <f ca="1"/>
        <v>0.53</v>
      </c>
      <c r="N12" s="190" t="s">
        <v>282</v>
      </c>
      <c r="T12" s="190" t="s">
        <v>287</v>
      </c>
    </row>
    <row r="13" spans="2:21" ht="26">
      <c r="B13" s="120">
        <f ca="1"/>
        <v>1.8248163265306115E-2</v>
      </c>
      <c r="C13" s="120">
        <f ca="1"/>
        <v>0.15352999999999994</v>
      </c>
      <c r="D13" s="120">
        <f ca="1"/>
        <v>0</v>
      </c>
      <c r="E13" s="120">
        <f ca="1"/>
        <v>2.171875</v>
      </c>
      <c r="F13" s="120">
        <f ca="1"/>
        <v>1.9390000000000001</v>
      </c>
      <c r="G13" s="120">
        <f ca="1"/>
        <v>0</v>
      </c>
      <c r="H13" s="120">
        <f ca="1"/>
        <v>0</v>
      </c>
      <c r="I13" s="120">
        <f ca="1"/>
        <v>6.0799999999999965E-2</v>
      </c>
      <c r="J13" s="120">
        <f ca="1"/>
        <v>3.3399999999999985E-2</v>
      </c>
      <c r="K13" s="120">
        <f ca="1"/>
        <v>8.450000000000002E-2</v>
      </c>
      <c r="M13" s="119" t="s">
        <v>183</v>
      </c>
      <c r="N13" s="181" t="s">
        <v>54</v>
      </c>
      <c r="O13" s="193">
        <f ca="1">MIN(INDIRECT($N$1&amp;N12,TRUE))</f>
        <v>0.57499999999999996</v>
      </c>
      <c r="S13" s="119" t="s">
        <v>183</v>
      </c>
      <c r="T13" s="181" t="s">
        <v>66</v>
      </c>
      <c r="U13" s="193">
        <f ca="1">MIN(INDIRECT($N$1&amp;T12,TRUE))</f>
        <v>2.1999999999999999E-2</v>
      </c>
    </row>
    <row r="14" spans="2:21">
      <c r="B14" s="120">
        <f ca="1"/>
        <v>2.5433654916512075E-2</v>
      </c>
      <c r="C14" s="120">
        <f ca="1"/>
        <v>1.3250000000000002</v>
      </c>
      <c r="D14" s="120">
        <f ca="1"/>
        <v>0.16749999999999998</v>
      </c>
      <c r="E14" s="120">
        <f ca="1"/>
        <v>6.25E-2</v>
      </c>
      <c r="F14" s="120">
        <f ca="1"/>
        <v>0.39999999999999947</v>
      </c>
      <c r="G14" s="120">
        <f ca="1"/>
        <v>2.1999999999999999E-2</v>
      </c>
      <c r="H14" s="120">
        <f ca="1"/>
        <v>6.5499999999999968E-3</v>
      </c>
      <c r="I14" s="120">
        <f ca="1"/>
        <v>0.36920000000000003</v>
      </c>
      <c r="J14" s="120">
        <f ca="1"/>
        <v>0.14050000000000001</v>
      </c>
      <c r="K14" s="120">
        <f ca="1"/>
        <v>0.97549999999999981</v>
      </c>
      <c r="M14" s="185" t="s">
        <v>184</v>
      </c>
      <c r="N14" s="186">
        <f ca="1">_xlfn.QUARTILE.INC(INDIRECT($N$1&amp;N12,TRUE),1)</f>
        <v>1.49647</v>
      </c>
      <c r="O14" s="187">
        <f ca="1">N14-O13</f>
        <v>0.92147000000000001</v>
      </c>
      <c r="S14" s="185" t="s">
        <v>184</v>
      </c>
      <c r="T14" s="186">
        <f ca="1">_xlfn.QUARTILE.INC(INDIRECT($N$1&amp;T12,TRUE),1)</f>
        <v>2.5100000000000001E-2</v>
      </c>
      <c r="U14" s="187">
        <f ca="1">T14-U13</f>
        <v>3.1000000000000021E-3</v>
      </c>
    </row>
    <row r="15" spans="2:21">
      <c r="B15" s="120">
        <f ca="1"/>
        <v>0.59331818181818186</v>
      </c>
      <c r="C15" s="120">
        <f ca="1"/>
        <v>2.7369999999999997</v>
      </c>
      <c r="D15" s="120">
        <f ca="1"/>
        <v>2.7324999999999999</v>
      </c>
      <c r="E15" s="120">
        <f ca="1"/>
        <v>3.6875</v>
      </c>
      <c r="F15" s="120">
        <f ca="1"/>
        <v>0.87400000000000055</v>
      </c>
      <c r="G15" s="120">
        <f ca="1"/>
        <v>1.7390000000000003E-2</v>
      </c>
      <c r="H15" s="120">
        <f ca="1"/>
        <v>5.1500000000000018E-3</v>
      </c>
      <c r="I15" s="120">
        <f ca="1"/>
        <v>5.9333333333333349E-2</v>
      </c>
      <c r="J15" s="120">
        <f ca="1"/>
        <v>0.94609999999999994</v>
      </c>
      <c r="K15" s="120">
        <f ca="1"/>
        <v>3.12</v>
      </c>
      <c r="M15" s="185" t="s">
        <v>185</v>
      </c>
      <c r="N15" s="186">
        <f ca="1">MEDIAN(INDIRECT($N$1&amp;N12,TRUE))</f>
        <v>1.65</v>
      </c>
      <c r="O15" s="187">
        <f ca="1">N15-N14</f>
        <v>0.15352999999999994</v>
      </c>
      <c r="S15" s="185" t="s">
        <v>185</v>
      </c>
      <c r="T15" s="186">
        <f ca="1">MEDIAN(INDIRECT($N$1&amp;T12,TRUE))</f>
        <v>2.5100000000000001E-2</v>
      </c>
      <c r="U15" s="187">
        <f ca="1">T15-T14</f>
        <v>0</v>
      </c>
    </row>
    <row r="16" spans="2:21">
      <c r="M16" s="185" t="s">
        <v>186</v>
      </c>
      <c r="N16" s="186">
        <f ca="1">_xlfn.QUARTILE.INC(INDIRECT($N$1&amp;N12,TRUE),3)</f>
        <v>2.9750000000000001</v>
      </c>
      <c r="O16" s="187">
        <f ca="1">N16-N15</f>
        <v>1.3250000000000002</v>
      </c>
      <c r="S16" s="185" t="s">
        <v>186</v>
      </c>
      <c r="T16" s="186">
        <f ca="1">_xlfn.QUARTILE.INC(INDIRECT($N$1&amp;T12,TRUE),3)</f>
        <v>3.1649999999999998E-2</v>
      </c>
      <c r="U16" s="187">
        <f ca="1">T16-T15</f>
        <v>6.5499999999999968E-3</v>
      </c>
    </row>
    <row r="17" spans="2:21">
      <c r="M17" s="119" t="s">
        <v>187</v>
      </c>
      <c r="N17" s="194">
        <f ca="1">MAX(INDIRECT($N$1&amp;N12,TRUE))</f>
        <v>5.7119999999999997</v>
      </c>
      <c r="O17" s="188">
        <f ca="1">N17-N16</f>
        <v>2.7369999999999997</v>
      </c>
      <c r="S17" s="119" t="s">
        <v>187</v>
      </c>
      <c r="T17" s="194">
        <f ca="1">MAX(INDIRECT($N$1&amp;T12,TRUE))</f>
        <v>3.6799999999999999E-2</v>
      </c>
      <c r="U17" s="188">
        <f ca="1">T17-T16</f>
        <v>5.1500000000000018E-3</v>
      </c>
    </row>
    <row r="19" spans="2:21">
      <c r="N19" s="191" t="s">
        <v>188</v>
      </c>
      <c r="T19" s="191" t="s">
        <v>188</v>
      </c>
    </row>
    <row r="20" spans="2:21">
      <c r="N20" s="190" t="s">
        <v>283</v>
      </c>
      <c r="T20" s="190" t="s">
        <v>288</v>
      </c>
    </row>
    <row r="21" spans="2:21" ht="26">
      <c r="M21" s="119" t="s">
        <v>183</v>
      </c>
      <c r="N21" s="181" t="s">
        <v>57</v>
      </c>
      <c r="O21" s="193">
        <f ca="1">MIN(INDIRECT($N$1&amp;N20,TRUE))</f>
        <v>0.64</v>
      </c>
      <c r="S21" s="119" t="s">
        <v>183</v>
      </c>
      <c r="T21" s="181" t="s">
        <v>67</v>
      </c>
      <c r="U21" s="193">
        <f ca="1">MIN(INDIRECT($N$1&amp;T20,TRUE))</f>
        <v>0.19</v>
      </c>
    </row>
    <row r="22" spans="2:21">
      <c r="M22" s="185" t="s">
        <v>184</v>
      </c>
      <c r="N22" s="186">
        <f ca="1">_xlfn.QUARTILE.INC(INDIRECT($N$1&amp;N20,TRUE),1)</f>
        <v>2.1</v>
      </c>
      <c r="O22" s="187">
        <f ca="1">N22-O21</f>
        <v>1.46</v>
      </c>
      <c r="S22" s="185" t="s">
        <v>184</v>
      </c>
      <c r="T22" s="186">
        <f ca="1">_xlfn.QUARTILE.INC(INDIRECT($N$1&amp;T20,TRUE),1)</f>
        <v>0.32</v>
      </c>
      <c r="U22" s="187">
        <f ca="1">T22-U21</f>
        <v>0.13</v>
      </c>
    </row>
    <row r="23" spans="2:21">
      <c r="M23" s="185" t="s">
        <v>185</v>
      </c>
      <c r="N23" s="186">
        <f ca="1">MEDIAN(INDIRECT($N$1&amp;N20,TRUE))</f>
        <v>2.1</v>
      </c>
      <c r="O23" s="187">
        <f ca="1">N23-N22</f>
        <v>0</v>
      </c>
      <c r="S23" s="185" t="s">
        <v>185</v>
      </c>
      <c r="T23" s="186">
        <f ca="1">MEDIAN(INDIRECT($N$1&amp;T20,TRUE))</f>
        <v>0.38079999999999997</v>
      </c>
      <c r="U23" s="187">
        <f ca="1">T23-T22</f>
        <v>6.0799999999999965E-2</v>
      </c>
    </row>
    <row r="24" spans="2:21">
      <c r="M24" s="185" t="s">
        <v>186</v>
      </c>
      <c r="N24" s="186">
        <f ca="1">_xlfn.QUARTILE.INC(INDIRECT($N$1&amp;N20,TRUE),3)</f>
        <v>2.2675000000000001</v>
      </c>
      <c r="O24" s="187">
        <f ca="1">N24-N23</f>
        <v>0.16749999999999998</v>
      </c>
      <c r="S24" s="185" t="s">
        <v>186</v>
      </c>
      <c r="T24" s="186">
        <f ca="1">_xlfn.QUARTILE.INC(INDIRECT($N$1&amp;T20,TRUE),3)</f>
        <v>0.75</v>
      </c>
      <c r="U24" s="187">
        <f ca="1">T24-T23</f>
        <v>0.36920000000000003</v>
      </c>
    </row>
    <row r="25" spans="2:21">
      <c r="B25" s="192" t="s">
        <v>190</v>
      </c>
      <c r="M25" s="119" t="s">
        <v>187</v>
      </c>
      <c r="N25" s="194">
        <f ca="1">MAX(INDIRECT($N$1&amp;N20,TRUE))</f>
        <v>5</v>
      </c>
      <c r="O25" s="188">
        <f ca="1">N25-N24</f>
        <v>2.7324999999999999</v>
      </c>
      <c r="S25" s="119" t="s">
        <v>187</v>
      </c>
      <c r="T25" s="194">
        <f ca="1">MAX(INDIRECT($N$1&amp;T20,TRUE))</f>
        <v>0.80933333333333335</v>
      </c>
      <c r="U25" s="188">
        <f ca="1">T25-T24</f>
        <v>5.9333333333333349E-2</v>
      </c>
    </row>
    <row r="26" spans="2:21" ht="52">
      <c r="B26" s="189" t="s">
        <v>49</v>
      </c>
      <c r="C26" s="181" t="s">
        <v>54</v>
      </c>
      <c r="D26" s="181" t="s">
        <v>57</v>
      </c>
      <c r="E26" s="181" t="s">
        <v>59</v>
      </c>
      <c r="F26" s="181" t="s">
        <v>61</v>
      </c>
      <c r="G26" s="181" t="s">
        <v>63</v>
      </c>
      <c r="H26" s="181" t="s">
        <v>66</v>
      </c>
      <c r="I26" s="181" t="s">
        <v>67</v>
      </c>
      <c r="J26" s="181" t="s">
        <v>68</v>
      </c>
      <c r="K26" s="181" t="s">
        <v>69</v>
      </c>
    </row>
    <row r="27" spans="2:21">
      <c r="B27" s="195">
        <f>Preisdatenbank!N6</f>
        <v>0.10907381284257904</v>
      </c>
      <c r="C27" s="195">
        <f>Preisdatenbank!N40</f>
        <v>1.9336279344729348</v>
      </c>
      <c r="D27" s="195">
        <f>Preisdatenbank!N59</f>
        <v>2.2373501542189906</v>
      </c>
      <c r="E27" s="195">
        <f>Preisdatenbank!N75</f>
        <v>2.8105794270833333</v>
      </c>
      <c r="F27" s="195">
        <f>Preisdatenbank!N88</f>
        <v>3.6811331944444441</v>
      </c>
      <c r="G27" s="195">
        <f>Preisdatenbank!N102</f>
        <v>3.0992666666666668E-2</v>
      </c>
      <c r="H27" s="195">
        <f>Preisdatenbank!N113</f>
        <v>2.6798194444444447E-2</v>
      </c>
      <c r="I27" s="195">
        <f>Preisdatenbank!N129</f>
        <v>0.49991164349429718</v>
      </c>
      <c r="J27" s="195">
        <f>Preisdatenbank!N141</f>
        <v>0.40437812500000003</v>
      </c>
      <c r="K27" s="195">
        <f>Preisdatenbank!N152</f>
        <v>1.8118416666666664</v>
      </c>
      <c r="N27" s="191" t="s">
        <v>188</v>
      </c>
      <c r="T27" s="191" t="s">
        <v>188</v>
      </c>
    </row>
    <row r="28" spans="2:21">
      <c r="N28" s="190" t="s">
        <v>284</v>
      </c>
      <c r="T28" s="190" t="s">
        <v>289</v>
      </c>
    </row>
    <row r="29" spans="2:21" ht="26">
      <c r="M29" s="119" t="s">
        <v>183</v>
      </c>
      <c r="N29" s="181" t="s">
        <v>59</v>
      </c>
      <c r="O29" s="193">
        <f ca="1">MIN(INDIRECT($N$1&amp;N28,TRUE))</f>
        <v>0.83</v>
      </c>
      <c r="S29" s="119" t="s">
        <v>183</v>
      </c>
      <c r="T29" s="181" t="s">
        <v>68</v>
      </c>
      <c r="U29" s="193">
        <f ca="1">MIN(INDIRECT($N$1&amp;T28,TRUE))</f>
        <v>0.32</v>
      </c>
    </row>
    <row r="30" spans="2:21">
      <c r="M30" s="185" t="s">
        <v>184</v>
      </c>
      <c r="N30" s="186">
        <f ca="1">_xlfn.QUARTILE.INC(INDIRECT($N$1&amp;N28,TRUE),1)</f>
        <v>1.028125</v>
      </c>
      <c r="O30" s="187">
        <f ca="1">N30-O29</f>
        <v>0.198125</v>
      </c>
      <c r="S30" s="185" t="s">
        <v>184</v>
      </c>
      <c r="T30" s="186">
        <f ca="1">_xlfn.QUARTILE.INC(INDIRECT($N$1&amp;T28,TRUE),1)</f>
        <v>0.32</v>
      </c>
      <c r="U30" s="187">
        <f ca="1">T30-U29</f>
        <v>0</v>
      </c>
    </row>
    <row r="31" spans="2:21">
      <c r="M31" s="185" t="s">
        <v>185</v>
      </c>
      <c r="N31" s="186">
        <f ca="1">MEDIAN(INDIRECT($N$1&amp;N28,TRUE))</f>
        <v>3.2</v>
      </c>
      <c r="O31" s="187">
        <f ca="1">N31-N30</f>
        <v>2.171875</v>
      </c>
      <c r="S31" s="185" t="s">
        <v>185</v>
      </c>
      <c r="T31" s="186">
        <f ca="1">MEDIAN(INDIRECT($N$1&amp;T28,TRUE))</f>
        <v>0.35339999999999999</v>
      </c>
      <c r="U31" s="187">
        <f ca="1">T31-T30</f>
        <v>3.3399999999999985E-2</v>
      </c>
    </row>
    <row r="32" spans="2:21">
      <c r="M32" s="185" t="s">
        <v>186</v>
      </c>
      <c r="N32" s="186">
        <f ca="1">_xlfn.QUARTILE.INC(INDIRECT($N$1&amp;N28,TRUE),3)</f>
        <v>3.2625000000000002</v>
      </c>
      <c r="O32" s="187">
        <f ca="1">N32-N31</f>
        <v>6.25E-2</v>
      </c>
      <c r="S32" s="185" t="s">
        <v>186</v>
      </c>
      <c r="T32" s="186">
        <f ca="1">_xlfn.QUARTILE.INC(INDIRECT($N$1&amp;T28,TRUE),3)</f>
        <v>0.49390000000000001</v>
      </c>
      <c r="U32" s="187">
        <f ca="1">T32-T31</f>
        <v>0.14050000000000001</v>
      </c>
    </row>
    <row r="33" spans="13:21">
      <c r="M33" s="119" t="s">
        <v>187</v>
      </c>
      <c r="N33" s="194">
        <f ca="1">MAX(INDIRECT($N$1&amp;N28,TRUE))</f>
        <v>6.95</v>
      </c>
      <c r="O33" s="188">
        <f ca="1">N33-N32</f>
        <v>3.6875</v>
      </c>
      <c r="S33" s="119" t="s">
        <v>187</v>
      </c>
      <c r="T33" s="194">
        <f ca="1">MAX(INDIRECT($N$1&amp;T28,TRUE))</f>
        <v>1.44</v>
      </c>
      <c r="U33" s="188">
        <f ca="1">T33-T32</f>
        <v>0.94609999999999994</v>
      </c>
    </row>
    <row r="35" spans="13:21">
      <c r="N35" s="191" t="s">
        <v>188</v>
      </c>
      <c r="T35" s="191" t="s">
        <v>188</v>
      </c>
    </row>
    <row r="36" spans="13:21">
      <c r="N36" s="190" t="s">
        <v>285</v>
      </c>
      <c r="T36" s="190" t="s">
        <v>290</v>
      </c>
    </row>
    <row r="37" spans="13:21" ht="26">
      <c r="M37" s="119" t="s">
        <v>183</v>
      </c>
      <c r="N37" s="181" t="s">
        <v>61</v>
      </c>
      <c r="O37" s="193">
        <f ca="1">MIN(INDIRECT($N$1&amp;N36,TRUE))</f>
        <v>0.94</v>
      </c>
      <c r="S37" s="119" t="s">
        <v>183</v>
      </c>
      <c r="T37" s="181" t="s">
        <v>69</v>
      </c>
      <c r="U37" s="193">
        <f ca="1">MIN(INDIRECT($N$1&amp;T36,TRUE))</f>
        <v>0.71</v>
      </c>
    </row>
    <row r="38" spans="13:21">
      <c r="M38" s="185" t="s">
        <v>184</v>
      </c>
      <c r="N38" s="186">
        <f ca="1">_xlfn.QUARTILE.INC(INDIRECT($N$1&amp;N36,TRUE),1)</f>
        <v>2.2610000000000001</v>
      </c>
      <c r="O38" s="187">
        <f ca="1">N38-O37</f>
        <v>1.3210000000000002</v>
      </c>
      <c r="S38" s="185" t="s">
        <v>184</v>
      </c>
      <c r="T38" s="186">
        <f ca="1">_xlfn.QUARTILE.INC(INDIRECT($N$1&amp;T36,TRUE),1)</f>
        <v>1.24</v>
      </c>
      <c r="U38" s="187">
        <f ca="1">T38-U37</f>
        <v>0.53</v>
      </c>
    </row>
    <row r="39" spans="13:21">
      <c r="M39" s="185" t="s">
        <v>185</v>
      </c>
      <c r="N39" s="186">
        <f ca="1">MEDIAN(INDIRECT($N$1&amp;N36,TRUE))</f>
        <v>4.2</v>
      </c>
      <c r="O39" s="187">
        <f ca="1">N39-N38</f>
        <v>1.9390000000000001</v>
      </c>
      <c r="S39" s="185" t="s">
        <v>185</v>
      </c>
      <c r="T39" s="186">
        <f ca="1">MEDIAN(INDIRECT($N$1&amp;T36,TRUE))</f>
        <v>1.3245</v>
      </c>
      <c r="U39" s="187">
        <f ca="1">T39-T38</f>
        <v>8.450000000000002E-2</v>
      </c>
    </row>
    <row r="40" spans="13:21">
      <c r="M40" s="185" t="s">
        <v>186</v>
      </c>
      <c r="N40" s="186">
        <f ca="1">_xlfn.QUARTILE.INC(INDIRECT($N$1&amp;N36,TRUE),3)</f>
        <v>4.5999999999999996</v>
      </c>
      <c r="O40" s="187">
        <f ca="1">N40-N39</f>
        <v>0.39999999999999947</v>
      </c>
      <c r="S40" s="185" t="s">
        <v>186</v>
      </c>
      <c r="T40" s="186">
        <f ca="1">_xlfn.QUARTILE.INC(INDIRECT($N$1&amp;T36,TRUE),3)</f>
        <v>2.2999999999999998</v>
      </c>
      <c r="U40" s="187">
        <f ca="1">T40-T39</f>
        <v>0.97549999999999981</v>
      </c>
    </row>
    <row r="41" spans="13:21">
      <c r="M41" s="119" t="s">
        <v>187</v>
      </c>
      <c r="N41" s="194">
        <f ca="1">MAX(INDIRECT($N$1&amp;N36,TRUE))</f>
        <v>5.4740000000000002</v>
      </c>
      <c r="O41" s="188">
        <f ca="1">N41-N40</f>
        <v>0.87400000000000055</v>
      </c>
      <c r="S41" s="119" t="s">
        <v>187</v>
      </c>
      <c r="T41" s="194">
        <f ca="1">MAX(INDIRECT($N$1&amp;T36,TRUE))</f>
        <v>5.42</v>
      </c>
      <c r="U41" s="188">
        <f ca="1">T41-T40</f>
        <v>3.12</v>
      </c>
    </row>
  </sheetData>
  <sheetProtection algorithmName="SHA-512" hashValue="Ae4rBVY26jiz8muCP4V+Q2A+gHL6pEu93MhO2nigPQmB0Ixt0NkW9NvmRJ8ZoPvGkad8M0tubWQcAKUM6DmEWA==" saltValue="06lCHycJT1WUuYmh8E9rBw==" spinCount="100000" sheet="1" objects="1" scenarios="1"/>
  <pageMargins left="0.7" right="0.7" top="0.78740157499999996" bottom="0.78740157499999996"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77C69-E029-4F09-B1A4-D5BF9259DBD0}">
  <dimension ref="A1:J11"/>
  <sheetViews>
    <sheetView workbookViewId="0">
      <selection activeCell="F16" sqref="F16"/>
    </sheetView>
  </sheetViews>
  <sheetFormatPr baseColWidth="10" defaultColWidth="11.453125" defaultRowHeight="14.5"/>
  <cols>
    <col min="1" max="1" width="26.81640625" bestFit="1" customWidth="1"/>
    <col min="2" max="9" width="11.453125" bestFit="1" customWidth="1"/>
  </cols>
  <sheetData>
    <row r="1" spans="1:10">
      <c r="A1" s="132" t="s">
        <v>219</v>
      </c>
      <c r="B1" s="210">
        <v>43830</v>
      </c>
      <c r="C1" s="210">
        <v>43861</v>
      </c>
      <c r="D1" s="210">
        <v>43890</v>
      </c>
      <c r="E1" s="210">
        <v>43906</v>
      </c>
      <c r="F1" s="211">
        <v>43922</v>
      </c>
      <c r="G1" s="210">
        <v>43929</v>
      </c>
      <c r="H1" s="210">
        <v>43936</v>
      </c>
      <c r="I1" s="210">
        <v>43943</v>
      </c>
    </row>
    <row r="2" spans="1:10">
      <c r="A2" s="147" t="s">
        <v>220</v>
      </c>
      <c r="B2" s="267">
        <f>Preisdatenbank!E6</f>
        <v>6.4000000000000001E-2</v>
      </c>
      <c r="C2" s="267">
        <f>Preisdatenbank!F6</f>
        <v>6.4000000000000001E-2</v>
      </c>
      <c r="D2" s="267">
        <f>Preisdatenbank!G6</f>
        <v>8.2145414591762153E-2</v>
      </c>
      <c r="E2" s="267">
        <f>Preisdatenbank!H6</f>
        <v>0.10968412213208278</v>
      </c>
      <c r="F2" s="267">
        <f>Preisdatenbank!I6</f>
        <v>0.11366749698113976</v>
      </c>
      <c r="G2" s="267">
        <f>Preisdatenbank!J6</f>
        <v>0.14119346903564753</v>
      </c>
      <c r="H2" s="267">
        <f>Preisdatenbank!K6</f>
        <v>0.24440000000000001</v>
      </c>
      <c r="I2" s="267">
        <f>Preisdatenbank!L6</f>
        <v>5.3500000000000006E-2</v>
      </c>
    </row>
    <row r="3" spans="1:10">
      <c r="A3" s="147" t="s">
        <v>54</v>
      </c>
      <c r="B3" s="267">
        <f>Preisdatenbank!E40</f>
        <v>1.1375833333333334</v>
      </c>
      <c r="C3" s="267">
        <f>Preisdatenbank!F40</f>
        <v>1.1375833333333334</v>
      </c>
      <c r="D3" s="267">
        <f>Preisdatenbank!G40</f>
        <v>1.2704818091168091</v>
      </c>
      <c r="E3" s="267">
        <f>Preisdatenbank!H40</f>
        <v>2.5464375000000001</v>
      </c>
      <c r="F3" s="267">
        <f>Preisdatenbank!I40</f>
        <v>2.5377500000000004</v>
      </c>
      <c r="G3" s="267">
        <f>Preisdatenbank!J40</f>
        <v>2.9666875000000004</v>
      </c>
      <c r="H3" s="267">
        <f>Preisdatenbank!K40</f>
        <v>2.2725</v>
      </c>
      <c r="I3" s="267">
        <f>Preisdatenbank!L40</f>
        <v>1.6</v>
      </c>
    </row>
    <row r="4" spans="1:10">
      <c r="A4" s="147" t="s">
        <v>57</v>
      </c>
      <c r="B4" s="267">
        <f>Preisdatenbank!E59</f>
        <v>1.6519999999999999</v>
      </c>
      <c r="C4" s="267">
        <f>Preisdatenbank!F59</f>
        <v>1.6519999999999999</v>
      </c>
      <c r="D4" s="267">
        <f>Preisdatenbank!G59</f>
        <v>1.5076404494382023</v>
      </c>
      <c r="E4" s="267">
        <f>Preisdatenbank!H59</f>
        <v>2.9267901960784317</v>
      </c>
      <c r="F4" s="267">
        <f>Preisdatenbank!I59</f>
        <v>2.280185294117647</v>
      </c>
      <c r="G4" s="267">
        <f>Preisdatenbank!J59</f>
        <v>2.280185294117647</v>
      </c>
      <c r="H4" s="267">
        <f>Preisdatenbank!K59</f>
        <v>2.1</v>
      </c>
      <c r="I4" s="267">
        <f>Preisdatenbank!L59</f>
        <v>3.5</v>
      </c>
    </row>
    <row r="5" spans="1:10">
      <c r="A5" s="147" t="s">
        <v>59</v>
      </c>
      <c r="B5" s="267">
        <f>Preisdatenbank!E75</f>
        <v>2.4933333333333336</v>
      </c>
      <c r="C5" s="267">
        <f>Preisdatenbank!F75</f>
        <v>2.4933333333333336</v>
      </c>
      <c r="D5" s="267">
        <f>Preisdatenbank!G75</f>
        <v>2.4933333333333336</v>
      </c>
      <c r="E5" s="267">
        <f>Preisdatenbank!H75</f>
        <v>2.7645312500000001</v>
      </c>
      <c r="F5" s="267">
        <f>Preisdatenbank!I75</f>
        <v>3.7260416666666667</v>
      </c>
      <c r="G5" s="267">
        <f>Preisdatenbank!J75</f>
        <v>2.1140625000000002</v>
      </c>
      <c r="H5" s="267">
        <f>Preisdatenbank!K75</f>
        <v>3.2</v>
      </c>
      <c r="I5" s="267">
        <f>Preisdatenbank!L75</f>
        <v>3.2</v>
      </c>
    </row>
    <row r="6" spans="1:10">
      <c r="A6" s="147" t="s">
        <v>61</v>
      </c>
      <c r="B6" s="267">
        <f>Preisdatenbank!E88</f>
        <v>3.3201999999999998</v>
      </c>
      <c r="C6" s="267">
        <f>Preisdatenbank!F88</f>
        <v>3.3201999999999998</v>
      </c>
      <c r="D6" s="267">
        <f>Preisdatenbank!G88</f>
        <v>3.3201999999999998</v>
      </c>
      <c r="E6" s="267">
        <f>Preisdatenbank!H88</f>
        <v>3.5296466666666668</v>
      </c>
      <c r="F6" s="267">
        <f>Preisdatenbank!I88</f>
        <v>3.6413722222222229</v>
      </c>
      <c r="G6" s="267">
        <f>Preisdatenbank!J88</f>
        <v>3.9174466666666667</v>
      </c>
      <c r="H6" s="267">
        <f>Preisdatenbank!K88</f>
        <v>4.2</v>
      </c>
      <c r="I6" s="267">
        <f>Preisdatenbank!L88</f>
        <v>4.2</v>
      </c>
    </row>
    <row r="7" spans="1:10">
      <c r="A7" s="147" t="s">
        <v>63</v>
      </c>
      <c r="B7" s="267">
        <f>Preisdatenbank!E102</f>
        <v>2.2499999999999999E-2</v>
      </c>
      <c r="C7" s="267">
        <f>Preisdatenbank!F102</f>
        <v>2.2499999999999999E-2</v>
      </c>
      <c r="D7" s="267">
        <f>Preisdatenbank!G102</f>
        <v>2.2499999999999999E-2</v>
      </c>
      <c r="E7" s="267">
        <f>Preisdatenbank!H102</f>
        <v>4.2963333333333333E-2</v>
      </c>
      <c r="F7" s="267">
        <f>Preisdatenbank!I102</f>
        <v>4.4499999999999998E-2</v>
      </c>
      <c r="G7" s="267" t="str">
        <f>Preisdatenbank!J102</f>
        <v/>
      </c>
      <c r="H7" s="267" t="str">
        <f>Preisdatenbank!K102</f>
        <v/>
      </c>
      <c r="I7" s="267" t="str">
        <f>Preisdatenbank!L102</f>
        <v/>
      </c>
    </row>
    <row r="8" spans="1:10">
      <c r="A8" s="147" t="s">
        <v>66</v>
      </c>
      <c r="B8" s="267">
        <f>Preisdatenbank!E113</f>
        <v>2.6249999999999999E-2</v>
      </c>
      <c r="C8" s="267">
        <f>Preisdatenbank!F113</f>
        <v>2.6249999999999999E-2</v>
      </c>
      <c r="D8" s="267">
        <f>Preisdatenbank!G113</f>
        <v>2.6249999999999999E-2</v>
      </c>
      <c r="E8" s="267">
        <f>Preisdatenbank!H113</f>
        <v>2.9785555555555558E-2</v>
      </c>
      <c r="F8" s="267">
        <f>Preisdatenbank!I113</f>
        <v>2.5100000000000001E-2</v>
      </c>
      <c r="G8" s="267">
        <f>Preisdatenbank!J113</f>
        <v>2.5100000000000001E-2</v>
      </c>
      <c r="H8" s="267">
        <f>Preisdatenbank!K113</f>
        <v>2.5100000000000001E-2</v>
      </c>
      <c r="I8" s="267">
        <f>Preisdatenbank!L113</f>
        <v>3.0550000000000001E-2</v>
      </c>
    </row>
    <row r="9" spans="1:10">
      <c r="A9" s="147" t="s">
        <v>67</v>
      </c>
      <c r="B9" s="267">
        <f>Preisdatenbank!E129</f>
        <v>0.43120833333333336</v>
      </c>
      <c r="C9" s="267">
        <f>Preisdatenbank!F129</f>
        <v>0.43120833333333336</v>
      </c>
      <c r="D9" s="267">
        <f>Preisdatenbank!G129</f>
        <v>0.46867708206378228</v>
      </c>
      <c r="E9" s="267">
        <f>Preisdatenbank!H129</f>
        <v>0.47301543725747752</v>
      </c>
      <c r="F9" s="267">
        <f>Preisdatenbank!I129</f>
        <v>0.47301543725747752</v>
      </c>
      <c r="G9" s="267">
        <f>Preisdatenbank!J129</f>
        <v>0.50216852470897311</v>
      </c>
      <c r="H9" s="267">
        <f>Preisdatenbank!K129</f>
        <v>0.47</v>
      </c>
      <c r="I9" s="267">
        <f>Preisdatenbank!L129</f>
        <v>0.75</v>
      </c>
    </row>
    <row r="10" spans="1:10">
      <c r="A10" s="147" t="s">
        <v>68</v>
      </c>
      <c r="B10" s="267">
        <f>Preisdatenbank!E141</f>
        <v>0.3891</v>
      </c>
      <c r="C10" s="267">
        <f>Preisdatenbank!F141</f>
        <v>0.3891</v>
      </c>
      <c r="D10" s="267">
        <f>Preisdatenbank!G141</f>
        <v>0.3891</v>
      </c>
      <c r="E10" s="267">
        <f>Preisdatenbank!H141</f>
        <v>0.3891</v>
      </c>
      <c r="F10" s="267">
        <f>Preisdatenbank!I141</f>
        <v>0.65182499999999999</v>
      </c>
      <c r="G10" s="267">
        <f>Preisdatenbank!J141</f>
        <v>0.3367</v>
      </c>
      <c r="H10" s="267">
        <f>Preisdatenbank!K141</f>
        <v>0.3367</v>
      </c>
      <c r="I10" s="267">
        <f>Preisdatenbank!L141</f>
        <v>0.35339999999999999</v>
      </c>
    </row>
    <row r="11" spans="1:10">
      <c r="A11" s="147" t="s">
        <v>69</v>
      </c>
      <c r="B11" s="267">
        <f>Preisdatenbank!E152</f>
        <v>1.4798</v>
      </c>
      <c r="C11" s="267">
        <f>Preisdatenbank!F152</f>
        <v>1.4798</v>
      </c>
      <c r="D11" s="267">
        <f>Preisdatenbank!G152</f>
        <v>1.4798</v>
      </c>
      <c r="E11" s="267">
        <f>Preisdatenbank!H152</f>
        <v>1.9198333333333337</v>
      </c>
      <c r="F11" s="267">
        <f>Preisdatenbank!I152</f>
        <v>2.6659999999999995</v>
      </c>
      <c r="G11" s="267">
        <f>Preisdatenbank!J152</f>
        <v>1.9775</v>
      </c>
      <c r="H11" s="267">
        <f>Preisdatenbank!K152</f>
        <v>2.0420000000000003</v>
      </c>
      <c r="I11" s="267">
        <f>Preisdatenbank!L152</f>
        <v>1.45</v>
      </c>
      <c r="J11" t="s">
        <v>221</v>
      </c>
    </row>
  </sheetData>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C434FC-B540-4731-9A20-DB1868308366}">
  <dimension ref="A1:M18"/>
  <sheetViews>
    <sheetView workbookViewId="0"/>
  </sheetViews>
  <sheetFormatPr baseColWidth="10" defaultColWidth="11.453125" defaultRowHeight="14.5"/>
  <cols>
    <col min="1" max="1" width="2.453125" customWidth="1"/>
    <col min="2" max="2" width="43.1796875" customWidth="1"/>
    <col min="3" max="3" width="11.81640625" customWidth="1"/>
    <col min="4" max="4" width="7.1796875" customWidth="1"/>
    <col min="5" max="5" width="11.453125" customWidth="1"/>
    <col min="6" max="6" width="7.81640625" customWidth="1"/>
    <col min="7" max="7" width="11.453125" customWidth="1"/>
    <col min="8" max="8" width="10.1796875" customWidth="1"/>
    <col min="9" max="10" width="1.81640625" customWidth="1"/>
    <col min="11" max="11" width="23.1796875" customWidth="1"/>
    <col min="12" max="12" width="92.453125" customWidth="1"/>
    <col min="13" max="13" width="3.453125" customWidth="1"/>
  </cols>
  <sheetData>
    <row r="1" spans="1:13" ht="15" thickBot="1">
      <c r="A1" s="3"/>
      <c r="B1" s="19" t="s">
        <v>30</v>
      </c>
      <c r="C1" s="3"/>
      <c r="D1" s="3"/>
      <c r="E1" s="3"/>
      <c r="F1" s="3"/>
      <c r="G1" s="3"/>
      <c r="H1" s="3"/>
      <c r="I1" s="3"/>
      <c r="J1" s="17"/>
      <c r="K1" s="18" t="s">
        <v>29</v>
      </c>
      <c r="L1" s="17"/>
      <c r="M1" s="17"/>
    </row>
    <row r="2" spans="1:13">
      <c r="A2" s="3"/>
      <c r="B2" s="20"/>
      <c r="C2" s="23" t="s">
        <v>0</v>
      </c>
      <c r="D2" s="24" t="s">
        <v>32</v>
      </c>
      <c r="E2" s="23" t="s">
        <v>1</v>
      </c>
      <c r="F2" s="24" t="s">
        <v>33</v>
      </c>
      <c r="G2" s="23" t="s">
        <v>2</v>
      </c>
      <c r="H2" s="29" t="s">
        <v>34</v>
      </c>
      <c r="I2" s="3"/>
      <c r="J2" s="17"/>
      <c r="K2" s="15" t="s">
        <v>18</v>
      </c>
      <c r="L2" s="11"/>
      <c r="M2" s="17"/>
    </row>
    <row r="3" spans="1:13">
      <c r="A3" s="3"/>
      <c r="B3" s="21" t="s">
        <v>3</v>
      </c>
      <c r="C3" s="25">
        <v>0.5</v>
      </c>
      <c r="D3" s="26">
        <f>C3/'vor Pandemie'!C3</f>
        <v>5</v>
      </c>
      <c r="E3" s="25">
        <v>1.5</v>
      </c>
      <c r="F3" s="26">
        <f>E3/'vor Pandemie'!D3</f>
        <v>3</v>
      </c>
      <c r="G3" s="25">
        <v>6</v>
      </c>
      <c r="H3" s="30">
        <f>G3/'vor Pandemie'!E3</f>
        <v>3</v>
      </c>
      <c r="I3" s="3"/>
      <c r="J3" s="17"/>
      <c r="K3" s="12" t="s">
        <v>11</v>
      </c>
      <c r="L3" s="13" t="s">
        <v>15</v>
      </c>
      <c r="M3" s="17"/>
    </row>
    <row r="4" spans="1:13">
      <c r="A4" s="3"/>
      <c r="B4" s="21" t="s">
        <v>23</v>
      </c>
      <c r="C4" s="25">
        <f>12/10</f>
        <v>1.2</v>
      </c>
      <c r="D4" s="26"/>
      <c r="E4" s="25">
        <v>20</v>
      </c>
      <c r="F4" s="26"/>
      <c r="G4" s="25">
        <v>20</v>
      </c>
      <c r="H4" s="31"/>
      <c r="I4" s="3"/>
      <c r="J4" s="17"/>
      <c r="K4" s="12" t="s">
        <v>12</v>
      </c>
      <c r="L4" s="13" t="s">
        <v>14</v>
      </c>
      <c r="M4" s="17"/>
    </row>
    <row r="5" spans="1:13" ht="15" thickBot="1">
      <c r="A5" s="3"/>
      <c r="B5" s="22" t="s">
        <v>22</v>
      </c>
      <c r="C5" s="27">
        <f>C3*C4</f>
        <v>0.6</v>
      </c>
      <c r="D5" s="28"/>
      <c r="E5" s="27">
        <f t="shared" ref="E5:G5" si="0">E3*E4</f>
        <v>30</v>
      </c>
      <c r="F5" s="28"/>
      <c r="G5" s="27">
        <f t="shared" si="0"/>
        <v>120</v>
      </c>
      <c r="H5" s="32"/>
      <c r="I5" s="3"/>
      <c r="J5" s="17"/>
      <c r="K5" s="12" t="s">
        <v>13</v>
      </c>
      <c r="L5" s="13" t="s">
        <v>16</v>
      </c>
      <c r="M5" s="17"/>
    </row>
    <row r="6" spans="1:13">
      <c r="A6" s="3"/>
      <c r="B6" s="3"/>
      <c r="C6" s="3"/>
      <c r="D6" s="3"/>
      <c r="E6" s="3"/>
      <c r="F6" s="3"/>
      <c r="G6" s="3"/>
      <c r="H6" s="3"/>
      <c r="I6" s="3"/>
      <c r="J6" s="17"/>
      <c r="K6" s="16" t="s">
        <v>17</v>
      </c>
      <c r="L6" s="14" t="s">
        <v>19</v>
      </c>
      <c r="M6" s="17"/>
    </row>
    <row r="7" spans="1:13">
      <c r="A7" s="3"/>
      <c r="B7" s="1" t="s">
        <v>4</v>
      </c>
      <c r="C7" s="2">
        <f>C5*7</f>
        <v>4.2</v>
      </c>
      <c r="D7" s="2"/>
      <c r="E7" s="2">
        <f t="shared" ref="E7:G7" si="1">E5*7</f>
        <v>210</v>
      </c>
      <c r="F7" s="2"/>
      <c r="G7" s="2">
        <f t="shared" si="1"/>
        <v>840</v>
      </c>
      <c r="H7" s="3"/>
      <c r="I7" s="3"/>
      <c r="J7" s="17"/>
      <c r="K7" s="17"/>
      <c r="L7" s="17"/>
      <c r="M7" s="17"/>
    </row>
    <row r="8" spans="1:13">
      <c r="A8" s="3"/>
      <c r="B8" s="3"/>
      <c r="C8" s="3"/>
      <c r="D8" s="3"/>
      <c r="E8" s="3"/>
      <c r="F8" s="3"/>
      <c r="G8" s="3"/>
      <c r="H8" s="3"/>
      <c r="I8" s="3"/>
      <c r="J8" s="17"/>
      <c r="K8" s="15" t="s">
        <v>20</v>
      </c>
      <c r="L8" s="11"/>
      <c r="M8" s="17"/>
    </row>
    <row r="9" spans="1:13" ht="15" thickBot="1">
      <c r="A9" s="3"/>
      <c r="B9" s="3"/>
      <c r="C9" s="3"/>
      <c r="D9" s="3"/>
      <c r="E9" s="3"/>
      <c r="F9" s="3"/>
      <c r="G9" s="3"/>
      <c r="H9" s="3"/>
      <c r="I9" s="3"/>
      <c r="J9" s="17"/>
      <c r="K9" s="12" t="s">
        <v>0</v>
      </c>
      <c r="L9" s="13" t="s">
        <v>21</v>
      </c>
      <c r="M9" s="17"/>
    </row>
    <row r="10" spans="1:13" ht="15" thickBot="1">
      <c r="A10" s="3"/>
      <c r="B10" s="40" t="s">
        <v>7</v>
      </c>
      <c r="C10" s="355">
        <v>400</v>
      </c>
      <c r="D10" s="356"/>
      <c r="E10" s="356"/>
      <c r="F10" s="356"/>
      <c r="G10" s="357"/>
      <c r="H10" s="4"/>
      <c r="I10" s="3"/>
      <c r="J10" s="17"/>
      <c r="K10" s="12" t="s">
        <v>1</v>
      </c>
      <c r="L10" s="13" t="s">
        <v>24</v>
      </c>
      <c r="M10" s="17"/>
    </row>
    <row r="11" spans="1:13">
      <c r="A11" s="3"/>
      <c r="B11" s="21"/>
      <c r="C11" s="38" t="s">
        <v>0</v>
      </c>
      <c r="D11" s="34" t="s">
        <v>37</v>
      </c>
      <c r="E11" s="33" t="s">
        <v>1</v>
      </c>
      <c r="F11" s="34" t="s">
        <v>36</v>
      </c>
      <c r="G11" s="33" t="s">
        <v>2</v>
      </c>
      <c r="H11" s="29" t="s">
        <v>35</v>
      </c>
      <c r="I11" s="3"/>
      <c r="J11" s="17"/>
      <c r="K11" s="12" t="s">
        <v>2</v>
      </c>
      <c r="L11" s="13" t="s">
        <v>24</v>
      </c>
      <c r="M11" s="17"/>
    </row>
    <row r="12" spans="1:13">
      <c r="A12" s="3"/>
      <c r="B12" s="21" t="s">
        <v>5</v>
      </c>
      <c r="C12" s="39">
        <v>0.7</v>
      </c>
      <c r="D12" s="36"/>
      <c r="E12" s="35">
        <v>0.1</v>
      </c>
      <c r="F12" s="36"/>
      <c r="G12" s="35">
        <v>0.2</v>
      </c>
      <c r="H12" s="41"/>
      <c r="I12" s="3"/>
      <c r="J12" s="17"/>
      <c r="K12" s="16" t="s">
        <v>17</v>
      </c>
      <c r="L12" s="14" t="s">
        <v>25</v>
      </c>
      <c r="M12" s="17"/>
    </row>
    <row r="13" spans="1:13" ht="15" thickBot="1">
      <c r="A13" s="3"/>
      <c r="B13" s="22" t="s">
        <v>6</v>
      </c>
      <c r="C13" s="42">
        <f>C10*C12</f>
        <v>280</v>
      </c>
      <c r="D13" s="37">
        <f>C13/'vor Pandemie'!C12</f>
        <v>0.35714285714285715</v>
      </c>
      <c r="E13" s="43">
        <f>C10*E12</f>
        <v>40</v>
      </c>
      <c r="F13" s="37">
        <f>E13/'vor Pandemie'!D12</f>
        <v>3.3333333333333335</v>
      </c>
      <c r="G13" s="43">
        <f>C10*G12</f>
        <v>80</v>
      </c>
      <c r="H13" s="44">
        <f>G13/'vor Pandemie'!E12</f>
        <v>20</v>
      </c>
      <c r="I13" s="3"/>
      <c r="J13" s="17"/>
      <c r="K13" s="17"/>
      <c r="L13" s="17"/>
      <c r="M13" s="17"/>
    </row>
    <row r="14" spans="1:13">
      <c r="A14" s="3"/>
      <c r="B14" s="4"/>
      <c r="C14" s="5"/>
      <c r="D14" s="5"/>
      <c r="E14" s="5"/>
      <c r="F14" s="5"/>
      <c r="G14" s="5"/>
      <c r="H14" s="3"/>
      <c r="I14" s="3"/>
      <c r="J14" s="17"/>
      <c r="K14" s="15" t="s">
        <v>5</v>
      </c>
      <c r="L14" s="11"/>
      <c r="M14" s="17"/>
    </row>
    <row r="15" spans="1:13">
      <c r="A15" s="3"/>
      <c r="B15" s="8"/>
      <c r="C15" s="9"/>
      <c r="D15" s="9"/>
      <c r="E15" s="9"/>
      <c r="F15" s="9"/>
      <c r="G15" s="9"/>
      <c r="H15" s="10" t="s">
        <v>9</v>
      </c>
      <c r="I15" s="3"/>
      <c r="J15" s="17"/>
      <c r="K15" s="12" t="s">
        <v>26</v>
      </c>
      <c r="L15" s="13" t="s">
        <v>27</v>
      </c>
      <c r="M15" s="17"/>
    </row>
    <row r="16" spans="1:13">
      <c r="A16" s="3"/>
      <c r="B16" s="6" t="s">
        <v>8</v>
      </c>
      <c r="C16" s="7">
        <f>C13*C7</f>
        <v>1176</v>
      </c>
      <c r="D16" s="7"/>
      <c r="E16" s="7">
        <f>E13*E7</f>
        <v>8400</v>
      </c>
      <c r="F16" s="7"/>
      <c r="G16" s="7">
        <f>G13*G7</f>
        <v>67200</v>
      </c>
      <c r="H16" s="7">
        <f>SUM(C16:G16)</f>
        <v>76776</v>
      </c>
      <c r="I16" s="3"/>
      <c r="J16" s="17"/>
      <c r="K16" s="16" t="s">
        <v>17</v>
      </c>
      <c r="L16" s="14" t="s">
        <v>28</v>
      </c>
      <c r="M16" s="17"/>
    </row>
    <row r="17" spans="1:13">
      <c r="A17" s="3"/>
      <c r="B17" s="1" t="s">
        <v>10</v>
      </c>
      <c r="C17" s="358">
        <f>H16/C10</f>
        <v>191.94</v>
      </c>
      <c r="D17" s="359"/>
      <c r="E17" s="359"/>
      <c r="F17" s="359"/>
      <c r="G17" s="359"/>
      <c r="H17" s="360"/>
      <c r="I17" s="3"/>
      <c r="J17" s="17"/>
      <c r="K17" s="17"/>
      <c r="L17" s="17"/>
      <c r="M17" s="17"/>
    </row>
    <row r="18" spans="1:13">
      <c r="A18" s="3"/>
      <c r="B18" s="3"/>
      <c r="C18" s="3"/>
      <c r="D18" s="3"/>
      <c r="E18" s="3"/>
      <c r="F18" s="3"/>
      <c r="G18" s="3"/>
      <c r="H18" s="3"/>
      <c r="I18" s="3"/>
      <c r="J18" s="17"/>
      <c r="K18" s="17"/>
      <c r="L18" s="17"/>
      <c r="M18" s="17"/>
    </row>
  </sheetData>
  <mergeCells count="2">
    <mergeCell ref="C10:G10"/>
    <mergeCell ref="C17:H17"/>
  </mergeCells>
  <pageMargins left="0.7" right="0.7" top="0.78740157499999996" bottom="0.78740157499999996"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58A23-F8AF-4AE2-8ACD-BEA078A2A79B}">
  <dimension ref="A1:K23"/>
  <sheetViews>
    <sheetView workbookViewId="0"/>
  </sheetViews>
  <sheetFormatPr baseColWidth="10" defaultColWidth="11.453125" defaultRowHeight="14.5"/>
  <cols>
    <col min="1" max="1" width="3.1796875" customWidth="1"/>
    <col min="2" max="2" width="49.54296875" customWidth="1"/>
    <col min="3" max="3" width="14.453125" customWidth="1"/>
    <col min="4" max="4" width="14.1796875" customWidth="1"/>
    <col min="5" max="5" width="14" customWidth="1"/>
    <col min="7" max="7" width="3.453125" customWidth="1"/>
    <col min="8" max="8" width="3.1796875" customWidth="1"/>
    <col min="9" max="9" width="23.1796875" customWidth="1"/>
    <col min="10" max="10" width="92.453125" customWidth="1"/>
    <col min="11" max="11" width="3.453125" customWidth="1"/>
  </cols>
  <sheetData>
    <row r="1" spans="1:11">
      <c r="A1" s="3"/>
      <c r="B1" s="19" t="s">
        <v>30</v>
      </c>
      <c r="C1" s="3"/>
      <c r="D1" s="3"/>
      <c r="E1" s="3"/>
      <c r="F1" s="3"/>
      <c r="G1" s="3"/>
      <c r="H1" s="17"/>
      <c r="I1" s="18" t="s">
        <v>29</v>
      </c>
      <c r="J1" s="17"/>
      <c r="K1" s="17"/>
    </row>
    <row r="2" spans="1:11">
      <c r="A2" s="3"/>
      <c r="B2" s="1"/>
      <c r="C2" s="1" t="s">
        <v>0</v>
      </c>
      <c r="D2" s="1" t="s">
        <v>1</v>
      </c>
      <c r="E2" s="1" t="s">
        <v>2</v>
      </c>
      <c r="F2" s="3"/>
      <c r="G2" s="3"/>
      <c r="H2" s="17"/>
      <c r="I2" s="15" t="s">
        <v>18</v>
      </c>
      <c r="J2" s="11"/>
      <c r="K2" s="17"/>
    </row>
    <row r="3" spans="1:11">
      <c r="A3" s="3"/>
      <c r="B3" s="1" t="s">
        <v>3</v>
      </c>
      <c r="C3" s="2">
        <v>0.1</v>
      </c>
      <c r="D3" s="2">
        <v>0.5</v>
      </c>
      <c r="E3" s="2">
        <v>2</v>
      </c>
      <c r="F3" s="3"/>
      <c r="G3" s="3"/>
      <c r="H3" s="17"/>
      <c r="I3" s="12" t="s">
        <v>11</v>
      </c>
      <c r="J3" s="13" t="s">
        <v>15</v>
      </c>
      <c r="K3" s="17"/>
    </row>
    <row r="4" spans="1:11">
      <c r="A4" s="3"/>
      <c r="B4" s="1" t="s">
        <v>23</v>
      </c>
      <c r="C4" s="2">
        <f>3/10</f>
        <v>0.3</v>
      </c>
      <c r="D4" s="2">
        <v>20</v>
      </c>
      <c r="E4" s="2">
        <v>20</v>
      </c>
      <c r="F4" s="3"/>
      <c r="G4" s="3"/>
      <c r="H4" s="17"/>
      <c r="I4" s="12" t="s">
        <v>12</v>
      </c>
      <c r="J4" s="13" t="s">
        <v>14</v>
      </c>
      <c r="K4" s="17"/>
    </row>
    <row r="5" spans="1:11">
      <c r="A5" s="3"/>
      <c r="B5" s="1" t="s">
        <v>22</v>
      </c>
      <c r="C5" s="2">
        <f>C3*C4</f>
        <v>0.03</v>
      </c>
      <c r="D5" s="2">
        <f t="shared" ref="D5:E5" si="0">D3*D4</f>
        <v>10</v>
      </c>
      <c r="E5" s="2">
        <f t="shared" si="0"/>
        <v>40</v>
      </c>
      <c r="F5" s="3"/>
      <c r="G5" s="3"/>
      <c r="H5" s="17"/>
      <c r="I5" s="12" t="s">
        <v>13</v>
      </c>
      <c r="J5" s="13" t="s">
        <v>16</v>
      </c>
      <c r="K5" s="17"/>
    </row>
    <row r="6" spans="1:11">
      <c r="A6" s="3"/>
      <c r="B6" s="3"/>
      <c r="C6" s="3"/>
      <c r="D6" s="3"/>
      <c r="E6" s="3"/>
      <c r="F6" s="3"/>
      <c r="G6" s="3"/>
      <c r="H6" s="17"/>
      <c r="I6" s="16" t="s">
        <v>17</v>
      </c>
      <c r="J6" s="14" t="s">
        <v>19</v>
      </c>
      <c r="K6" s="17"/>
    </row>
    <row r="7" spans="1:11">
      <c r="A7" s="3"/>
      <c r="B7" s="1" t="s">
        <v>39</v>
      </c>
      <c r="C7" s="53">
        <v>7</v>
      </c>
      <c r="D7" s="53">
        <v>7</v>
      </c>
      <c r="E7" s="53">
        <v>7</v>
      </c>
      <c r="F7" s="3"/>
      <c r="G7" s="3"/>
      <c r="H7" s="17"/>
      <c r="I7" s="17"/>
      <c r="J7" s="17"/>
      <c r="K7" s="17"/>
    </row>
    <row r="8" spans="1:11">
      <c r="A8" s="3"/>
      <c r="B8" s="47" t="s">
        <v>40</v>
      </c>
      <c r="C8" s="48">
        <f>C5*C7</f>
        <v>0.21</v>
      </c>
      <c r="D8" s="48">
        <f t="shared" ref="D8:E8" si="1">D5*D7</f>
        <v>70</v>
      </c>
      <c r="E8" s="48">
        <f t="shared" si="1"/>
        <v>280</v>
      </c>
      <c r="F8" s="3"/>
      <c r="G8" s="3"/>
      <c r="H8" s="17"/>
      <c r="I8" s="15" t="s">
        <v>20</v>
      </c>
      <c r="J8" s="11"/>
      <c r="K8" s="17"/>
    </row>
    <row r="9" spans="1:11">
      <c r="A9" s="3"/>
      <c r="B9" s="3"/>
      <c r="C9" s="3"/>
      <c r="D9" s="3"/>
      <c r="E9" s="3"/>
      <c r="F9" s="3"/>
      <c r="G9" s="3"/>
      <c r="H9" s="17"/>
      <c r="I9" s="12" t="s">
        <v>0</v>
      </c>
      <c r="J9" s="13" t="s">
        <v>31</v>
      </c>
      <c r="K9" s="17"/>
    </row>
    <row r="10" spans="1:11">
      <c r="A10" s="3"/>
      <c r="B10" s="1" t="s">
        <v>7</v>
      </c>
      <c r="C10" s="361">
        <v>800</v>
      </c>
      <c r="D10" s="361"/>
      <c r="E10" s="361"/>
      <c r="F10" s="3"/>
      <c r="G10" s="3"/>
      <c r="H10" s="17"/>
      <c r="I10" s="12" t="s">
        <v>1</v>
      </c>
      <c r="J10" s="13" t="s">
        <v>24</v>
      </c>
      <c r="K10" s="17"/>
    </row>
    <row r="11" spans="1:11">
      <c r="A11" s="3"/>
      <c r="B11" s="1" t="s">
        <v>5</v>
      </c>
      <c r="C11" s="46">
        <v>0.98</v>
      </c>
      <c r="D11" s="46">
        <v>1.4999999999999999E-2</v>
      </c>
      <c r="E11" s="46">
        <v>5.0000000000000001E-3</v>
      </c>
      <c r="F11" s="3"/>
      <c r="G11" s="3"/>
      <c r="H11" s="17"/>
      <c r="I11" s="12" t="s">
        <v>2</v>
      </c>
      <c r="J11" s="13" t="s">
        <v>24</v>
      </c>
      <c r="K11" s="17"/>
    </row>
    <row r="12" spans="1:11">
      <c r="A12" s="3"/>
      <c r="B12" s="1" t="s">
        <v>6</v>
      </c>
      <c r="C12" s="45">
        <f>C10*C11</f>
        <v>784</v>
      </c>
      <c r="D12" s="45">
        <f>C10*D11</f>
        <v>12</v>
      </c>
      <c r="E12" s="45">
        <f>C10*E11</f>
        <v>4</v>
      </c>
      <c r="F12" s="3"/>
      <c r="G12" s="3"/>
      <c r="H12" s="17"/>
      <c r="I12" s="16" t="s">
        <v>17</v>
      </c>
      <c r="J12" s="14" t="s">
        <v>25</v>
      </c>
      <c r="K12" s="17"/>
    </row>
    <row r="13" spans="1:11">
      <c r="A13" s="3"/>
      <c r="B13" s="4"/>
      <c r="C13" s="5"/>
      <c r="D13" s="5"/>
      <c r="E13" s="5"/>
      <c r="F13" s="3"/>
      <c r="G13" s="3"/>
      <c r="H13" s="17"/>
      <c r="I13" s="17"/>
      <c r="J13" s="17"/>
      <c r="K13" s="17"/>
    </row>
    <row r="14" spans="1:11">
      <c r="A14" s="3"/>
      <c r="B14" s="8"/>
      <c r="C14" s="9"/>
      <c r="D14" s="9"/>
      <c r="E14" s="9"/>
      <c r="F14" s="10" t="s">
        <v>9</v>
      </c>
      <c r="G14" s="3"/>
      <c r="H14" s="17"/>
      <c r="I14" s="15" t="s">
        <v>5</v>
      </c>
      <c r="J14" s="11"/>
      <c r="K14" s="17"/>
    </row>
    <row r="15" spans="1:11">
      <c r="A15" s="3"/>
      <c r="B15" s="6" t="s">
        <v>41</v>
      </c>
      <c r="C15" s="7">
        <f>C12*C8</f>
        <v>164.64</v>
      </c>
      <c r="D15" s="7">
        <f>D12*D8</f>
        <v>840</v>
      </c>
      <c r="E15" s="7">
        <f>E12*E8</f>
        <v>1120</v>
      </c>
      <c r="F15" s="7">
        <f>SUM(C15:E15)</f>
        <v>2124.64</v>
      </c>
      <c r="G15" s="3"/>
      <c r="H15" s="17"/>
      <c r="I15" s="12" t="s">
        <v>26</v>
      </c>
      <c r="J15" s="13" t="s">
        <v>27</v>
      </c>
      <c r="K15" s="17"/>
    </row>
    <row r="16" spans="1:11">
      <c r="A16" s="3"/>
      <c r="B16" s="6" t="s">
        <v>43</v>
      </c>
      <c r="C16" s="49">
        <f>C15/C12</f>
        <v>0.21</v>
      </c>
      <c r="D16" s="50">
        <f>D15/D12</f>
        <v>70</v>
      </c>
      <c r="E16" s="50">
        <f>E15/E12</f>
        <v>280</v>
      </c>
      <c r="F16" s="51"/>
      <c r="G16" s="3"/>
      <c r="H16" s="17"/>
      <c r="I16" s="16" t="s">
        <v>17</v>
      </c>
      <c r="J16" s="14" t="s">
        <v>28</v>
      </c>
      <c r="K16" s="17"/>
    </row>
    <row r="17" spans="1:11">
      <c r="A17" s="3"/>
      <c r="B17" s="1" t="s">
        <v>42</v>
      </c>
      <c r="C17" s="362">
        <f>F15/C10</f>
        <v>2.6557999999999997</v>
      </c>
      <c r="D17" s="363"/>
      <c r="E17" s="363"/>
      <c r="F17" s="364"/>
      <c r="G17" s="3"/>
      <c r="H17" s="17"/>
      <c r="I17" s="17"/>
      <c r="J17" s="17"/>
      <c r="K17" s="17"/>
    </row>
    <row r="18" spans="1:11">
      <c r="A18" s="3"/>
      <c r="B18" s="3"/>
      <c r="C18" s="3"/>
      <c r="D18" s="3"/>
      <c r="E18" s="3"/>
      <c r="F18" s="3"/>
      <c r="G18" s="3"/>
    </row>
    <row r="19" spans="1:11">
      <c r="A19" s="3"/>
      <c r="B19" s="8"/>
      <c r="C19" s="9"/>
      <c r="D19" s="9"/>
      <c r="E19" s="9"/>
      <c r="F19" s="10" t="s">
        <v>9</v>
      </c>
      <c r="G19" s="3"/>
    </row>
    <row r="20" spans="1:11">
      <c r="A20" s="3"/>
      <c r="B20" s="6"/>
      <c r="C20" s="52">
        <v>7</v>
      </c>
      <c r="D20" s="52">
        <v>7</v>
      </c>
      <c r="E20" s="52">
        <v>7</v>
      </c>
      <c r="F20" s="52"/>
      <c r="G20" s="3"/>
    </row>
    <row r="21" spans="1:11">
      <c r="A21" s="3"/>
      <c r="B21" s="6" t="s">
        <v>38</v>
      </c>
      <c r="C21" s="52">
        <v>80</v>
      </c>
      <c r="D21" s="52">
        <v>80</v>
      </c>
      <c r="E21" s="52">
        <v>80</v>
      </c>
      <c r="F21" s="52"/>
      <c r="G21" s="3"/>
    </row>
    <row r="22" spans="1:11">
      <c r="A22" s="3"/>
      <c r="B22" s="1" t="s">
        <v>10</v>
      </c>
      <c r="C22" s="362"/>
      <c r="D22" s="363"/>
      <c r="E22" s="363"/>
      <c r="F22" s="364"/>
      <c r="G22" s="3"/>
    </row>
    <row r="23" spans="1:11">
      <c r="A23" s="3"/>
      <c r="B23" s="3"/>
      <c r="C23" s="3"/>
      <c r="D23" s="3"/>
      <c r="E23" s="3"/>
      <c r="F23" s="3"/>
      <c r="G23" s="3"/>
    </row>
  </sheetData>
  <mergeCells count="3">
    <mergeCell ref="C10:E10"/>
    <mergeCell ref="C17:F17"/>
    <mergeCell ref="C22:F22"/>
  </mergeCells>
  <pageMargins left="0.7" right="0.7" top="0.78740157499999996" bottom="0.78740157499999996"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10</vt:i4>
      </vt:variant>
      <vt:variant>
        <vt:lpstr>Benannte Bereiche</vt:lpstr>
      </vt:variant>
      <vt:variant>
        <vt:i4>15</vt:i4>
      </vt:variant>
    </vt:vector>
  </HeadingPairs>
  <TitlesOfParts>
    <vt:vector size="25" baseType="lpstr">
      <vt:lpstr>Deckblatt</vt:lpstr>
      <vt:lpstr>Bearbeitungshinweise</vt:lpstr>
      <vt:lpstr>Sachkostenrechner</vt:lpstr>
      <vt:lpstr>Warenkorb</vt:lpstr>
      <vt:lpstr>Preisdatenbank</vt:lpstr>
      <vt:lpstr>Preisblatt</vt:lpstr>
      <vt:lpstr>Preisentwicklung</vt:lpstr>
      <vt:lpstr>Übersetzungstabelle</vt:lpstr>
      <vt:lpstr>16.03 Ausbruch WHO</vt:lpstr>
      <vt:lpstr>vor Pandemie</vt:lpstr>
      <vt:lpstr>Bearbeitungshinweise!Druckbereich</vt:lpstr>
      <vt:lpstr>Deckblatt!Druckbereich</vt:lpstr>
      <vt:lpstr>Preisblatt!Druckbereich</vt:lpstr>
      <vt:lpstr>Preisdatenbank!Druckbereich</vt:lpstr>
      <vt:lpstr>Sachkostenrechner!Druckbereich</vt:lpstr>
      <vt:lpstr>EP_Gruppe0</vt:lpstr>
      <vt:lpstr>EP_Gruppe1</vt:lpstr>
      <vt:lpstr>EP_Gruppe2</vt:lpstr>
      <vt:lpstr>EP_Gruppe3</vt:lpstr>
      <vt:lpstr>EP_Gruppe4</vt:lpstr>
      <vt:lpstr>GP_Gruppe0</vt:lpstr>
      <vt:lpstr>GP_Gruppe1</vt:lpstr>
      <vt:lpstr>GP_Gruppe2</vt:lpstr>
      <vt:lpstr>GP_Gruppe3</vt:lpstr>
      <vt:lpstr>GP_Gruppe4</vt:lpstr>
    </vt:vector>
  </TitlesOfParts>
  <Company>Hessischekrankenhausgesellschaft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Gramminger Steffen</dc:creator>
  <cp:lastModifiedBy>Celine</cp:lastModifiedBy>
  <cp:lastPrinted>2020-04-01T11:47:19Z</cp:lastPrinted>
  <dcterms:created xsi:type="dcterms:W3CDTF">2020-03-28T14:26:13Z</dcterms:created>
  <dcterms:modified xsi:type="dcterms:W3CDTF">2020-04-28T14:06:03Z</dcterms:modified>
</cp:coreProperties>
</file>