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C:\Users\Celine\Desktop\"/>
    </mc:Choice>
  </mc:AlternateContent>
  <xr:revisionPtr revIDLastSave="0" documentId="8_{F1C5D666-4D73-42FC-A2E2-6D9E143A0346}" xr6:coauthVersionLast="45" xr6:coauthVersionMax="45" xr10:uidLastSave="{00000000-0000-0000-0000-000000000000}"/>
  <bookViews>
    <workbookView xWindow="-98" yWindow="-98" windowWidth="22695" windowHeight="14595" tabRatio="769" activeTab="3" xr2:uid="{00000000-000D-0000-FFFF-FFFF00000000}"/>
  </bookViews>
  <sheets>
    <sheet name="Disclaimer" sheetId="3" r:id="rId1"/>
    <sheet name="Beschreibung" sheetId="16" r:id="rId2"/>
    <sheet name="Impact Tool" sheetId="9" r:id="rId3"/>
    <sheet name="Ausgleichzahlungen" sheetId="11" r:id="rId4"/>
    <sheet name="Pflegebudget" sheetId="17" r:id="rId5"/>
    <sheet name="Pflegebudget alt" sheetId="13" state="hidden" r:id="rId6"/>
    <sheet name="Zeitraum" sheetId="12" state="hidden" r:id="rId7"/>
    <sheet name="LBFW" sheetId="5" state="hidden" r:id="rId8"/>
  </sheets>
  <externalReferences>
    <externalReference r:id="rId9"/>
  </externalReferences>
  <definedNames>
    <definedName name="_xlnm._FilterDatabase" localSheetId="2" hidden="1">'Impact Tool'!$A$1:$A$1</definedName>
    <definedName name="Auslastung_ITS">[1]Sachkostenrechner!$I$9</definedName>
    <definedName name="Auslastung_Normalstation">[1]Sachkostenrechner!$E$9</definedName>
    <definedName name="Betten_ITS">[1]Sachkostenrechner!$I$8</definedName>
    <definedName name="Betten_Normalstation">[1]Sachkostenrechner!$E$8</definedName>
    <definedName name="EP_Gruppe0">[1]Sachkostenrechner!$O$15</definedName>
    <definedName name="EP_Gruppe1">[1]Sachkostenrechner!$O$21</definedName>
    <definedName name="EP_Gruppe2">[1]Sachkostenrechner!$O$29</definedName>
    <definedName name="EP_Gruppe3">[1]Sachkostenrechner!$O$38</definedName>
    <definedName name="GP_Gruppe0">[1]Sachkostenrechner!$Q$15</definedName>
    <definedName name="GP_Gruppe1">[1]Sachkostenrechner!$Q$21</definedName>
    <definedName name="GP_Gruppe2">[1]Sachkostenrechner!$Q$29</definedName>
    <definedName name="GP_Gruppe3">[1]Sachkostenrechner!$Q$38</definedName>
    <definedName name="PSA_Erloes_Normalstation">[1]Sachkostenrechner!$F$32</definedName>
    <definedName name="PSA_Erlös_ITS">[1]Sachkostenrechner!$K$32</definedName>
    <definedName name="Vw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1" l="1"/>
  <c r="G74" i="11" l="1"/>
  <c r="G54" i="11"/>
  <c r="H31" i="11"/>
  <c r="F31" i="11"/>
  <c r="D31" i="11"/>
  <c r="C68" i="11" l="1"/>
  <c r="G55" i="11" l="1"/>
  <c r="G56" i="11"/>
  <c r="G57" i="11"/>
  <c r="G58" i="11"/>
  <c r="G59" i="11"/>
  <c r="G60" i="11"/>
  <c r="G61" i="11"/>
  <c r="G62" i="11"/>
  <c r="G63" i="11"/>
  <c r="G64" i="11"/>
  <c r="G65" i="11"/>
  <c r="G66" i="11"/>
  <c r="G67" i="11"/>
  <c r="G68" i="11"/>
  <c r="G69" i="11"/>
  <c r="G70" i="11"/>
  <c r="G71" i="11"/>
  <c r="G72" i="11"/>
  <c r="G73"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54" i="11"/>
  <c r="C54" i="11"/>
  <c r="F56" i="11" l="1"/>
  <c r="C55" i="11"/>
  <c r="J31" i="11"/>
  <c r="M31" i="11"/>
  <c r="M32" i="11"/>
  <c r="M33" i="11"/>
  <c r="M34" i="11"/>
  <c r="M35" i="11"/>
  <c r="M36" i="11"/>
  <c r="M37" i="11"/>
  <c r="M38" i="11"/>
  <c r="M39" i="11"/>
  <c r="M40" i="11"/>
  <c r="M41" i="11"/>
  <c r="M42" i="11"/>
  <c r="M43" i="11"/>
  <c r="M44" i="11"/>
  <c r="M45" i="11"/>
  <c r="M46" i="11"/>
  <c r="M47" i="11"/>
  <c r="M48" i="11"/>
  <c r="M49" i="11"/>
  <c r="M50" i="11"/>
  <c r="M51" i="11"/>
  <c r="M52" i="11"/>
  <c r="M53" i="11"/>
  <c r="H32" i="11"/>
  <c r="H33" i="11"/>
  <c r="H34" i="11"/>
  <c r="H35" i="11"/>
  <c r="H36" i="11"/>
  <c r="H37" i="11"/>
  <c r="H38" i="11"/>
  <c r="H39" i="11"/>
  <c r="H40" i="11"/>
  <c r="H41" i="11"/>
  <c r="H42" i="11"/>
  <c r="H43" i="11"/>
  <c r="H44" i="11"/>
  <c r="H45" i="11"/>
  <c r="H46" i="11"/>
  <c r="H47" i="11"/>
  <c r="H48" i="11"/>
  <c r="H49" i="11"/>
  <c r="H50" i="11"/>
  <c r="H51" i="11"/>
  <c r="H52" i="11"/>
  <c r="H53" i="11"/>
  <c r="F32" i="11"/>
  <c r="F33" i="11"/>
  <c r="F34" i="11"/>
  <c r="F35" i="11"/>
  <c r="F36" i="11"/>
  <c r="F37" i="11"/>
  <c r="F38" i="11"/>
  <c r="F39" i="11"/>
  <c r="F40" i="11"/>
  <c r="F41" i="11"/>
  <c r="F42" i="11"/>
  <c r="F43" i="11"/>
  <c r="F44" i="11"/>
  <c r="F45" i="11"/>
  <c r="F46" i="11"/>
  <c r="F47" i="11"/>
  <c r="F48" i="11"/>
  <c r="F49" i="11"/>
  <c r="F50" i="11"/>
  <c r="F51" i="11"/>
  <c r="F52" i="11"/>
  <c r="F53" i="11"/>
  <c r="F55"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54" i="11"/>
  <c r="F8" i="9"/>
  <c r="F15" i="9"/>
  <c r="D35" i="11"/>
  <c r="M54" i="11" l="1"/>
  <c r="B9" i="17"/>
  <c r="B30" i="17" s="1"/>
  <c r="B8" i="17"/>
  <c r="B7" i="17"/>
  <c r="B32" i="17"/>
  <c r="B26" i="17"/>
  <c r="C26" i="17"/>
  <c r="B20" i="17"/>
  <c r="B18" i="17"/>
  <c r="B19" i="17" s="1"/>
  <c r="B21" i="17" l="1"/>
  <c r="B22" i="17"/>
  <c r="D16" i="9" s="1"/>
  <c r="B24" i="17"/>
  <c r="B34" i="17"/>
  <c r="B31" i="17"/>
  <c r="B33" i="17" s="1"/>
  <c r="D32" i="17"/>
  <c r="D16" i="17"/>
  <c r="C16" i="17"/>
  <c r="B16" i="17"/>
  <c r="B28" i="17" l="1"/>
  <c r="B35" i="17" s="1"/>
  <c r="B25" i="17"/>
  <c r="B27" i="17" s="1"/>
  <c r="D33" i="11" l="1"/>
  <c r="D34" i="11"/>
  <c r="D36" i="11"/>
  <c r="D37" i="11"/>
  <c r="D38" i="11"/>
  <c r="D39" i="11"/>
  <c r="D40" i="11"/>
  <c r="D41" i="11"/>
  <c r="D42" i="11"/>
  <c r="D43" i="11"/>
  <c r="D44" i="11"/>
  <c r="D45" i="11"/>
  <c r="D46" i="11"/>
  <c r="D47" i="11"/>
  <c r="D48" i="11"/>
  <c r="D49" i="11"/>
  <c r="D50" i="11"/>
  <c r="D51" i="11"/>
  <c r="D52" i="11"/>
  <c r="D53" i="11"/>
  <c r="D32" i="11"/>
  <c r="B11" i="17" s="1"/>
  <c r="C24" i="17" s="1"/>
  <c r="C23" i="17" l="1"/>
  <c r="J51" i="11"/>
  <c r="J43" i="11"/>
  <c r="J35" i="11"/>
  <c r="J50" i="11"/>
  <c r="J42" i="11"/>
  <c r="J34" i="11"/>
  <c r="J49" i="11"/>
  <c r="J33" i="11"/>
  <c r="J48" i="11"/>
  <c r="J40" i="11"/>
  <c r="J38" i="11"/>
  <c r="J47" i="11"/>
  <c r="J53" i="11"/>
  <c r="J45" i="11"/>
  <c r="J37" i="11"/>
  <c r="J41" i="11"/>
  <c r="J39" i="11"/>
  <c r="J32" i="11"/>
  <c r="J46" i="11"/>
  <c r="J52" i="11"/>
  <c r="J44" i="11"/>
  <c r="J36" i="11"/>
  <c r="D54" i="11"/>
  <c r="M55" i="11"/>
  <c r="C56" i="11"/>
  <c r="C57" i="11"/>
  <c r="M57" i="11" s="1"/>
  <c r="C58" i="11"/>
  <c r="M58" i="11" s="1"/>
  <c r="C59" i="11"/>
  <c r="M59" i="11" s="1"/>
  <c r="C60" i="11"/>
  <c r="M60" i="11" s="1"/>
  <c r="C61" i="11"/>
  <c r="M61" i="11" s="1"/>
  <c r="C62" i="11"/>
  <c r="M62" i="11" s="1"/>
  <c r="C63" i="11"/>
  <c r="M63" i="11" s="1"/>
  <c r="C64" i="11"/>
  <c r="M64" i="11" s="1"/>
  <c r="C65" i="11"/>
  <c r="M65" i="11" s="1"/>
  <c r="C66" i="11"/>
  <c r="M66" i="11" s="1"/>
  <c r="C67" i="11"/>
  <c r="M67" i="11" s="1"/>
  <c r="M68" i="11"/>
  <c r="C69" i="11"/>
  <c r="M69" i="11" s="1"/>
  <c r="C70" i="11"/>
  <c r="M70" i="11" s="1"/>
  <c r="C71" i="11"/>
  <c r="M71" i="11" s="1"/>
  <c r="C72" i="11"/>
  <c r="M72" i="11" s="1"/>
  <c r="C73" i="11"/>
  <c r="M73" i="11" s="1"/>
  <c r="C74" i="11"/>
  <c r="M74" i="11" s="1"/>
  <c r="C75" i="11"/>
  <c r="M75" i="11" s="1"/>
  <c r="C76" i="11"/>
  <c r="M76" i="11" s="1"/>
  <c r="C77" i="11"/>
  <c r="M77" i="11" s="1"/>
  <c r="C78" i="11"/>
  <c r="M78" i="11" s="1"/>
  <c r="C79" i="11"/>
  <c r="M79" i="11" s="1"/>
  <c r="C80" i="11"/>
  <c r="M80" i="11" s="1"/>
  <c r="C81" i="11"/>
  <c r="M81" i="11" s="1"/>
  <c r="C82" i="11"/>
  <c r="M82" i="11" s="1"/>
  <c r="C83" i="11"/>
  <c r="M83" i="11" s="1"/>
  <c r="C84" i="11"/>
  <c r="M84" i="11" s="1"/>
  <c r="C85" i="11"/>
  <c r="M85" i="11" s="1"/>
  <c r="C86" i="11"/>
  <c r="M86" i="11" s="1"/>
  <c r="C87" i="11"/>
  <c r="M87" i="11" s="1"/>
  <c r="C88" i="11"/>
  <c r="M88" i="11" s="1"/>
  <c r="C89" i="11"/>
  <c r="M89" i="11" s="1"/>
  <c r="C90" i="11"/>
  <c r="M90" i="11" s="1"/>
  <c r="C91" i="11"/>
  <c r="M91" i="11" s="1"/>
  <c r="C92" i="11"/>
  <c r="M92" i="11" s="1"/>
  <c r="C93" i="11"/>
  <c r="M93" i="11" s="1"/>
  <c r="C94" i="11"/>
  <c r="M94" i="11" s="1"/>
  <c r="C95" i="11"/>
  <c r="M95" i="11" s="1"/>
  <c r="C96" i="11"/>
  <c r="M96" i="11" s="1"/>
  <c r="C97" i="11"/>
  <c r="M97" i="11" s="1"/>
  <c r="C98" i="11"/>
  <c r="M98" i="11" s="1"/>
  <c r="C99" i="11"/>
  <c r="M99" i="11" s="1"/>
  <c r="C100" i="11"/>
  <c r="M100" i="11" s="1"/>
  <c r="C101" i="11"/>
  <c r="M101" i="11" s="1"/>
  <c r="C102" i="11"/>
  <c r="M102" i="11" s="1"/>
  <c r="C103" i="11"/>
  <c r="M103" i="11" s="1"/>
  <c r="C104" i="11"/>
  <c r="M104" i="11" s="1"/>
  <c r="C105" i="11"/>
  <c r="M105" i="11" s="1"/>
  <c r="C106" i="11"/>
  <c r="M106" i="11" s="1"/>
  <c r="C107" i="11"/>
  <c r="M107" i="11" s="1"/>
  <c r="C108" i="11"/>
  <c r="M108" i="11" s="1"/>
  <c r="C109" i="11"/>
  <c r="M109" i="11" s="1"/>
  <c r="C110" i="11"/>
  <c r="M110" i="11" s="1"/>
  <c r="C111" i="11"/>
  <c r="M111" i="11" s="1"/>
  <c r="C112" i="11"/>
  <c r="M112" i="11" s="1"/>
  <c r="C113" i="11"/>
  <c r="M113" i="11" s="1"/>
  <c r="C114" i="11"/>
  <c r="M114" i="11" s="1"/>
  <c r="C115" i="11"/>
  <c r="M115" i="11" s="1"/>
  <c r="C116" i="11"/>
  <c r="M116" i="11" s="1"/>
  <c r="C117" i="11"/>
  <c r="M117" i="11" s="1"/>
  <c r="C118" i="11"/>
  <c r="M118" i="11" s="1"/>
  <c r="C119" i="11"/>
  <c r="M119" i="11" s="1"/>
  <c r="C120" i="11"/>
  <c r="M120" i="11" s="1"/>
  <c r="C121" i="11"/>
  <c r="M121" i="11" s="1"/>
  <c r="C122" i="11"/>
  <c r="M122" i="11" s="1"/>
  <c r="C123" i="11"/>
  <c r="M123" i="11" s="1"/>
  <c r="C124" i="11"/>
  <c r="M124" i="11" s="1"/>
  <c r="C125" i="11"/>
  <c r="M125" i="11" s="1"/>
  <c r="C126" i="11"/>
  <c r="M126" i="11" s="1"/>
  <c r="C127" i="11"/>
  <c r="M127" i="11" s="1"/>
  <c r="C128" i="11"/>
  <c r="M128" i="11" s="1"/>
  <c r="C129" i="11"/>
  <c r="M129" i="11" s="1"/>
  <c r="C130" i="11"/>
  <c r="M130" i="11" s="1"/>
  <c r="C131" i="11"/>
  <c r="M131" i="11" s="1"/>
  <c r="C132" i="11"/>
  <c r="M132" i="11" s="1"/>
  <c r="C133" i="11"/>
  <c r="M133" i="11" s="1"/>
  <c r="C134" i="11"/>
  <c r="M134" i="11" s="1"/>
  <c r="C135" i="11"/>
  <c r="M135" i="11" s="1"/>
  <c r="C136" i="11"/>
  <c r="M136" i="11" s="1"/>
  <c r="C137" i="11"/>
  <c r="M137" i="11" s="1"/>
  <c r="C138" i="11"/>
  <c r="M138" i="11" s="1"/>
  <c r="C139" i="11"/>
  <c r="M139" i="11" s="1"/>
  <c r="C140" i="11"/>
  <c r="M140" i="11" s="1"/>
  <c r="C141" i="11"/>
  <c r="M141" i="11" s="1"/>
  <c r="C142" i="11"/>
  <c r="M142" i="11" s="1"/>
  <c r="C143" i="11"/>
  <c r="M143" i="11" s="1"/>
  <c r="C144" i="11"/>
  <c r="M144" i="11" s="1"/>
  <c r="C145" i="11"/>
  <c r="M145" i="11" s="1"/>
  <c r="C146" i="11"/>
  <c r="M146" i="11" s="1"/>
  <c r="C147" i="11"/>
  <c r="M147" i="11" s="1"/>
  <c r="C148" i="11"/>
  <c r="M148" i="11" s="1"/>
  <c r="C149" i="11"/>
  <c r="M149" i="11" s="1"/>
  <c r="C150" i="11"/>
  <c r="M150" i="11" s="1"/>
  <c r="C151" i="11"/>
  <c r="M151" i="11" s="1"/>
  <c r="C152" i="11"/>
  <c r="M152" i="11" s="1"/>
  <c r="C153" i="11"/>
  <c r="M153" i="11" s="1"/>
  <c r="C154" i="11"/>
  <c r="M154" i="11" s="1"/>
  <c r="C155" i="11"/>
  <c r="M155" i="11" s="1"/>
  <c r="C156" i="11"/>
  <c r="M156" i="11" s="1"/>
  <c r="C157" i="11"/>
  <c r="M157" i="11" s="1"/>
  <c r="C158" i="11"/>
  <c r="M158" i="11" s="1"/>
  <c r="C159" i="11"/>
  <c r="M159" i="11" s="1"/>
  <c r="C160" i="11"/>
  <c r="M160" i="11" s="1"/>
  <c r="C161" i="11"/>
  <c r="M161" i="11" s="1"/>
  <c r="C162" i="11"/>
  <c r="M162" i="11" s="1"/>
  <c r="C163" i="11"/>
  <c r="M163" i="11" s="1"/>
  <c r="C164" i="11"/>
  <c r="M164" i="11" s="1"/>
  <c r="C165" i="11"/>
  <c r="M165" i="11" s="1"/>
  <c r="C166" i="11"/>
  <c r="M166" i="11" s="1"/>
  <c r="C167" i="11"/>
  <c r="M167" i="11" s="1"/>
  <c r="C168" i="11"/>
  <c r="M168" i="11" s="1"/>
  <c r="C169" i="11"/>
  <c r="M169" i="11" s="1"/>
  <c r="C170" i="11"/>
  <c r="M170" i="11" s="1"/>
  <c r="C171" i="11"/>
  <c r="M171" i="11" s="1"/>
  <c r="C172" i="11"/>
  <c r="M172" i="11" s="1"/>
  <c r="C173" i="11"/>
  <c r="M173" i="11" s="1"/>
  <c r="C174" i="11"/>
  <c r="M174" i="11" s="1"/>
  <c r="C175" i="11"/>
  <c r="M175" i="11" s="1"/>
  <c r="C176" i="11"/>
  <c r="M176" i="11" s="1"/>
  <c r="C177" i="11"/>
  <c r="M177" i="11" s="1"/>
  <c r="C178" i="11"/>
  <c r="M178" i="11" s="1"/>
  <c r="C179" i="11"/>
  <c r="M179" i="11" s="1"/>
  <c r="C180" i="11"/>
  <c r="M180" i="11" s="1"/>
  <c r="C181" i="11"/>
  <c r="M181" i="11" s="1"/>
  <c r="C182" i="11"/>
  <c r="M182" i="11" s="1"/>
  <c r="C183" i="11"/>
  <c r="M183" i="11" s="1"/>
  <c r="C184" i="11"/>
  <c r="M184" i="11" s="1"/>
  <c r="C185" i="11"/>
  <c r="M185" i="11" s="1"/>
  <c r="C186" i="11"/>
  <c r="M186" i="11" s="1"/>
  <c r="C187" i="11"/>
  <c r="M187" i="11" s="1"/>
  <c r="C188" i="11"/>
  <c r="M188" i="11" s="1"/>
  <c r="C189" i="11"/>
  <c r="M189" i="11" s="1"/>
  <c r="C190" i="11"/>
  <c r="M190" i="11" s="1"/>
  <c r="C191" i="11"/>
  <c r="M191" i="11" s="1"/>
  <c r="C192" i="11"/>
  <c r="M192" i="11" s="1"/>
  <c r="C193" i="11"/>
  <c r="M193" i="11" s="1"/>
  <c r="C194" i="11"/>
  <c r="M194" i="11" s="1"/>
  <c r="C195" i="11"/>
  <c r="M195" i="11" s="1"/>
  <c r="C196" i="11"/>
  <c r="M196" i="11" s="1"/>
  <c r="C197" i="11"/>
  <c r="M197" i="11" s="1"/>
  <c r="C198" i="11"/>
  <c r="M198" i="11" s="1"/>
  <c r="C199" i="11"/>
  <c r="M199" i="11" s="1"/>
  <c r="C200" i="11"/>
  <c r="M200" i="11" s="1"/>
  <c r="C201" i="11"/>
  <c r="M201" i="11" s="1"/>
  <c r="C202" i="11"/>
  <c r="M202" i="11" s="1"/>
  <c r="C203" i="11"/>
  <c r="M203" i="11" s="1"/>
  <c r="C204" i="11"/>
  <c r="M204" i="11" s="1"/>
  <c r="C205" i="11"/>
  <c r="M205" i="11" s="1"/>
  <c r="C206" i="11"/>
  <c r="M206" i="11" s="1"/>
  <c r="C207" i="11"/>
  <c r="M207" i="11" s="1"/>
  <c r="C208" i="11"/>
  <c r="M208" i="11" s="1"/>
  <c r="C209" i="11"/>
  <c r="M209" i="11" s="1"/>
  <c r="C210" i="11"/>
  <c r="M210" i="11" s="1"/>
  <c r="C211" i="11"/>
  <c r="M211" i="11" s="1"/>
  <c r="C212" i="11"/>
  <c r="M212" i="11" s="1"/>
  <c r="C213" i="11"/>
  <c r="M213" i="11" s="1"/>
  <c r="C214" i="11"/>
  <c r="M214" i="11" s="1"/>
  <c r="C215" i="11"/>
  <c r="M215" i="11" s="1"/>
  <c r="C216" i="11"/>
  <c r="M216" i="11" s="1"/>
  <c r="C217" i="11"/>
  <c r="M217" i="11" s="1"/>
  <c r="C218" i="11"/>
  <c r="M218" i="11" s="1"/>
  <c r="C219" i="11"/>
  <c r="M219" i="11" s="1"/>
  <c r="C220" i="11"/>
  <c r="M220" i="11" s="1"/>
  <c r="C221" i="11"/>
  <c r="M221" i="11" s="1"/>
  <c r="C222" i="11"/>
  <c r="M222" i="11" s="1"/>
  <c r="C223" i="11"/>
  <c r="M223" i="11" s="1"/>
  <c r="C224" i="11"/>
  <c r="M224" i="11" s="1"/>
  <c r="C225" i="11"/>
  <c r="M225" i="11" s="1"/>
  <c r="C226" i="11"/>
  <c r="M226" i="11" s="1"/>
  <c r="C227" i="11"/>
  <c r="M227" i="11" s="1"/>
  <c r="C228" i="11"/>
  <c r="M228" i="11" s="1"/>
  <c r="C229" i="11"/>
  <c r="M229" i="11" s="1"/>
  <c r="D56" i="11" l="1"/>
  <c r="M56" i="11"/>
  <c r="C25" i="17"/>
  <c r="C27" i="17" s="1"/>
  <c r="C28" i="17"/>
  <c r="D17" i="9" s="1"/>
  <c r="D213" i="11"/>
  <c r="J213" i="11" s="1"/>
  <c r="D157" i="11"/>
  <c r="J157" i="11" s="1"/>
  <c r="D101" i="11"/>
  <c r="J101" i="11" s="1"/>
  <c r="D69" i="11"/>
  <c r="J69" i="11" s="1"/>
  <c r="D228" i="11"/>
  <c r="J228" i="11" s="1"/>
  <c r="D220" i="11"/>
  <c r="J220" i="11" s="1"/>
  <c r="D212" i="11"/>
  <c r="J212" i="11" s="1"/>
  <c r="D204" i="11"/>
  <c r="J204" i="11" s="1"/>
  <c r="D196" i="11"/>
  <c r="J196" i="11" s="1"/>
  <c r="D188" i="11"/>
  <c r="J188" i="11" s="1"/>
  <c r="D180" i="11"/>
  <c r="J180" i="11" s="1"/>
  <c r="D172" i="11"/>
  <c r="J172" i="11" s="1"/>
  <c r="D164" i="11"/>
  <c r="J164" i="11" s="1"/>
  <c r="D156" i="11"/>
  <c r="J156" i="11" s="1"/>
  <c r="D148" i="11"/>
  <c r="J148" i="11" s="1"/>
  <c r="D140" i="11"/>
  <c r="J140" i="11" s="1"/>
  <c r="D132" i="11"/>
  <c r="J132" i="11" s="1"/>
  <c r="D124" i="11"/>
  <c r="J124" i="11" s="1"/>
  <c r="D116" i="11"/>
  <c r="J116" i="11" s="1"/>
  <c r="D108" i="11"/>
  <c r="J108" i="11" s="1"/>
  <c r="D100" i="11"/>
  <c r="J100" i="11" s="1"/>
  <c r="D92" i="11"/>
  <c r="J92" i="11" s="1"/>
  <c r="D84" i="11"/>
  <c r="J84" i="11" s="1"/>
  <c r="D76" i="11"/>
  <c r="J76" i="11" s="1"/>
  <c r="D68" i="11"/>
  <c r="J68" i="11" s="1"/>
  <c r="D60" i="11"/>
  <c r="J60" i="11" s="1"/>
  <c r="D197" i="11"/>
  <c r="J197" i="11" s="1"/>
  <c r="D125" i="11"/>
  <c r="J125" i="11" s="1"/>
  <c r="D227" i="11"/>
  <c r="J227" i="11" s="1"/>
  <c r="D211" i="11"/>
  <c r="J211" i="11" s="1"/>
  <c r="D187" i="11"/>
  <c r="J187" i="11" s="1"/>
  <c r="D171" i="11"/>
  <c r="J171" i="11" s="1"/>
  <c r="D155" i="11"/>
  <c r="J155" i="11" s="1"/>
  <c r="D147" i="11"/>
  <c r="J147" i="11" s="1"/>
  <c r="D139" i="11"/>
  <c r="J139" i="11" s="1"/>
  <c r="D131" i="11"/>
  <c r="J131" i="11" s="1"/>
  <c r="D123" i="11"/>
  <c r="J123" i="11" s="1"/>
  <c r="D115" i="11"/>
  <c r="J115" i="11" s="1"/>
  <c r="D107" i="11"/>
  <c r="J107" i="11" s="1"/>
  <c r="D99" i="11"/>
  <c r="J99" i="11" s="1"/>
  <c r="D91" i="11"/>
  <c r="J91" i="11" s="1"/>
  <c r="D83" i="11"/>
  <c r="J83" i="11" s="1"/>
  <c r="D75" i="11"/>
  <c r="J75" i="11" s="1"/>
  <c r="D67" i="11"/>
  <c r="J67" i="11" s="1"/>
  <c r="D59" i="11"/>
  <c r="J59" i="11" s="1"/>
  <c r="D221" i="11"/>
  <c r="J221" i="11" s="1"/>
  <c r="D165" i="11"/>
  <c r="J165" i="11" s="1"/>
  <c r="D117" i="11"/>
  <c r="J117" i="11" s="1"/>
  <c r="D219" i="11"/>
  <c r="J219" i="11" s="1"/>
  <c r="D203" i="11"/>
  <c r="J203" i="11" s="1"/>
  <c r="D195" i="11"/>
  <c r="J195" i="11" s="1"/>
  <c r="D179" i="11"/>
  <c r="J179" i="11" s="1"/>
  <c r="D163" i="11"/>
  <c r="J163" i="11" s="1"/>
  <c r="D226" i="11"/>
  <c r="J226" i="11" s="1"/>
  <c r="D218" i="11"/>
  <c r="J218" i="11" s="1"/>
  <c r="D210" i="11"/>
  <c r="J210" i="11" s="1"/>
  <c r="D202" i="11"/>
  <c r="J202" i="11" s="1"/>
  <c r="D194" i="11"/>
  <c r="J194" i="11" s="1"/>
  <c r="D186" i="11"/>
  <c r="J186" i="11" s="1"/>
  <c r="D178" i="11"/>
  <c r="J178" i="11" s="1"/>
  <c r="D170" i="11"/>
  <c r="J170" i="11" s="1"/>
  <c r="D162" i="11"/>
  <c r="J162" i="11" s="1"/>
  <c r="D154" i="11"/>
  <c r="J154" i="11" s="1"/>
  <c r="D146" i="11"/>
  <c r="J146" i="11" s="1"/>
  <c r="D138" i="11"/>
  <c r="J138" i="11" s="1"/>
  <c r="D130" i="11"/>
  <c r="J130" i="11" s="1"/>
  <c r="D122" i="11"/>
  <c r="J122" i="11" s="1"/>
  <c r="D114" i="11"/>
  <c r="J114" i="11" s="1"/>
  <c r="D106" i="11"/>
  <c r="J106" i="11" s="1"/>
  <c r="D98" i="11"/>
  <c r="J98" i="11" s="1"/>
  <c r="D90" i="11"/>
  <c r="J90" i="11" s="1"/>
  <c r="D82" i="11"/>
  <c r="J82" i="11" s="1"/>
  <c r="D74" i="11"/>
  <c r="J74" i="11" s="1"/>
  <c r="D66" i="11"/>
  <c r="J66" i="11" s="1"/>
  <c r="D58" i="11"/>
  <c r="J58" i="11" s="1"/>
  <c r="D181" i="11"/>
  <c r="J181" i="11" s="1"/>
  <c r="D133" i="11"/>
  <c r="J133" i="11" s="1"/>
  <c r="D77" i="11"/>
  <c r="J77" i="11" s="1"/>
  <c r="D225" i="11"/>
  <c r="J225" i="11" s="1"/>
  <c r="D209" i="11"/>
  <c r="J209" i="11" s="1"/>
  <c r="D193" i="11"/>
  <c r="J193" i="11" s="1"/>
  <c r="D177" i="11"/>
  <c r="J177" i="11" s="1"/>
  <c r="D161" i="11"/>
  <c r="J161" i="11" s="1"/>
  <c r="D137" i="11"/>
  <c r="J137" i="11" s="1"/>
  <c r="D121" i="11"/>
  <c r="J121" i="11" s="1"/>
  <c r="D105" i="11"/>
  <c r="J105" i="11" s="1"/>
  <c r="D89" i="11"/>
  <c r="J89" i="11" s="1"/>
  <c r="D73" i="11"/>
  <c r="J73" i="11" s="1"/>
  <c r="D65" i="11"/>
  <c r="J65" i="11" s="1"/>
  <c r="D57" i="11"/>
  <c r="J57" i="11" s="1"/>
  <c r="D205" i="11"/>
  <c r="J205" i="11" s="1"/>
  <c r="D149" i="11"/>
  <c r="J149" i="11" s="1"/>
  <c r="D93" i="11"/>
  <c r="J93" i="11" s="1"/>
  <c r="D217" i="11"/>
  <c r="J217" i="11" s="1"/>
  <c r="D201" i="11"/>
  <c r="J201" i="11" s="1"/>
  <c r="D185" i="11"/>
  <c r="J185" i="11" s="1"/>
  <c r="D169" i="11"/>
  <c r="J169" i="11" s="1"/>
  <c r="D153" i="11"/>
  <c r="J153" i="11" s="1"/>
  <c r="D145" i="11"/>
  <c r="J145" i="11" s="1"/>
  <c r="D129" i="11"/>
  <c r="J129" i="11" s="1"/>
  <c r="D113" i="11"/>
  <c r="J113" i="11" s="1"/>
  <c r="D97" i="11"/>
  <c r="J97" i="11" s="1"/>
  <c r="D81" i="11"/>
  <c r="J81" i="11" s="1"/>
  <c r="D224" i="11"/>
  <c r="J224" i="11" s="1"/>
  <c r="D216" i="11"/>
  <c r="J216" i="11" s="1"/>
  <c r="D208" i="11"/>
  <c r="J208" i="11" s="1"/>
  <c r="D200" i="11"/>
  <c r="J200" i="11" s="1"/>
  <c r="D192" i="11"/>
  <c r="J192" i="11" s="1"/>
  <c r="D184" i="11"/>
  <c r="J184" i="11" s="1"/>
  <c r="D176" i="11"/>
  <c r="J176" i="11" s="1"/>
  <c r="D168" i="11"/>
  <c r="J168" i="11" s="1"/>
  <c r="D160" i="11"/>
  <c r="J160" i="11" s="1"/>
  <c r="D152" i="11"/>
  <c r="J152" i="11" s="1"/>
  <c r="D144" i="11"/>
  <c r="J144" i="11" s="1"/>
  <c r="D136" i="11"/>
  <c r="J136" i="11" s="1"/>
  <c r="D128" i="11"/>
  <c r="J128" i="11" s="1"/>
  <c r="D120" i="11"/>
  <c r="J120" i="11" s="1"/>
  <c r="D112" i="11"/>
  <c r="J112" i="11" s="1"/>
  <c r="D104" i="11"/>
  <c r="J104" i="11" s="1"/>
  <c r="D96" i="11"/>
  <c r="J96" i="11" s="1"/>
  <c r="D88" i="11"/>
  <c r="J88" i="11" s="1"/>
  <c r="D80" i="11"/>
  <c r="J80" i="11" s="1"/>
  <c r="D72" i="11"/>
  <c r="J72" i="11" s="1"/>
  <c r="D64" i="11"/>
  <c r="J64" i="11" s="1"/>
  <c r="J56" i="11"/>
  <c r="D189" i="11"/>
  <c r="J189" i="11" s="1"/>
  <c r="D141" i="11"/>
  <c r="J141" i="11" s="1"/>
  <c r="D85" i="11"/>
  <c r="J85" i="11" s="1"/>
  <c r="D223" i="11"/>
  <c r="J223" i="11" s="1"/>
  <c r="D207" i="11"/>
  <c r="J207" i="11" s="1"/>
  <c r="D191" i="11"/>
  <c r="J191" i="11" s="1"/>
  <c r="D175" i="11"/>
  <c r="J175" i="11" s="1"/>
  <c r="D159" i="11"/>
  <c r="J159" i="11" s="1"/>
  <c r="D143" i="11"/>
  <c r="J143" i="11" s="1"/>
  <c r="D127" i="11"/>
  <c r="J127" i="11" s="1"/>
  <c r="D119" i="11"/>
  <c r="J119" i="11" s="1"/>
  <c r="D103" i="11"/>
  <c r="J103" i="11" s="1"/>
  <c r="D95" i="11"/>
  <c r="J95" i="11" s="1"/>
  <c r="D87" i="11"/>
  <c r="J87" i="11" s="1"/>
  <c r="D79" i="11"/>
  <c r="J79" i="11" s="1"/>
  <c r="D71" i="11"/>
  <c r="J71" i="11" s="1"/>
  <c r="D63" i="11"/>
  <c r="J63" i="11" s="1"/>
  <c r="D55" i="11"/>
  <c r="J55" i="11" s="1"/>
  <c r="D229" i="11"/>
  <c r="J229" i="11" s="1"/>
  <c r="D173" i="11"/>
  <c r="J173" i="11" s="1"/>
  <c r="D109" i="11"/>
  <c r="J109" i="11" s="1"/>
  <c r="D61" i="11"/>
  <c r="J61" i="11" s="1"/>
  <c r="D215" i="11"/>
  <c r="J215" i="11" s="1"/>
  <c r="D199" i="11"/>
  <c r="J199" i="11" s="1"/>
  <c r="D183" i="11"/>
  <c r="J183" i="11" s="1"/>
  <c r="D167" i="11"/>
  <c r="J167" i="11" s="1"/>
  <c r="D151" i="11"/>
  <c r="J151" i="11" s="1"/>
  <c r="D135" i="11"/>
  <c r="J135" i="11" s="1"/>
  <c r="D111" i="11"/>
  <c r="J111" i="11" s="1"/>
  <c r="D222" i="11"/>
  <c r="J222" i="11" s="1"/>
  <c r="D214" i="11"/>
  <c r="J214" i="11" s="1"/>
  <c r="D206" i="11"/>
  <c r="J206" i="11" s="1"/>
  <c r="D198" i="11"/>
  <c r="J198" i="11" s="1"/>
  <c r="D190" i="11"/>
  <c r="J190" i="11" s="1"/>
  <c r="D182" i="11"/>
  <c r="J182" i="11" s="1"/>
  <c r="D174" i="11"/>
  <c r="J174" i="11" s="1"/>
  <c r="D166" i="11"/>
  <c r="J166" i="11" s="1"/>
  <c r="D158" i="11"/>
  <c r="J158" i="11" s="1"/>
  <c r="D150" i="11"/>
  <c r="J150" i="11" s="1"/>
  <c r="D142" i="11"/>
  <c r="J142" i="11" s="1"/>
  <c r="D134" i="11"/>
  <c r="J134" i="11" s="1"/>
  <c r="D126" i="11"/>
  <c r="J126" i="11" s="1"/>
  <c r="D118" i="11"/>
  <c r="J118" i="11" s="1"/>
  <c r="D110" i="11"/>
  <c r="J110" i="11" s="1"/>
  <c r="D102" i="11"/>
  <c r="J102" i="11" s="1"/>
  <c r="D94" i="11"/>
  <c r="J94" i="11" s="1"/>
  <c r="D86" i="11"/>
  <c r="J86" i="11" s="1"/>
  <c r="D78" i="11"/>
  <c r="J78" i="11" s="1"/>
  <c r="D70" i="11"/>
  <c r="J70" i="11" s="1"/>
  <c r="D62" i="11"/>
  <c r="J62" i="11" s="1"/>
  <c r="D13" i="11"/>
  <c r="B12" i="17" l="1" a="1"/>
  <c r="B12" i="17" s="1"/>
  <c r="D30" i="17" s="1"/>
  <c r="J54" i="11"/>
  <c r="C34" i="13"/>
  <c r="B34" i="13"/>
  <c r="F18" i="13"/>
  <c r="C17" i="13"/>
  <c r="B17" i="13"/>
  <c r="E26" i="13"/>
  <c r="E23" i="13"/>
  <c r="F27" i="13"/>
  <c r="F24" i="13"/>
  <c r="F21" i="13"/>
  <c r="C43" i="13"/>
  <c r="B43" i="13"/>
  <c r="B40" i="13"/>
  <c r="B37" i="13"/>
  <c r="B23" i="13"/>
  <c r="B20" i="13"/>
  <c r="B10" i="13"/>
  <c r="B9" i="13" s="1"/>
  <c r="B6" i="13"/>
  <c r="C26" i="13"/>
  <c r="B26" i="13"/>
  <c r="D29" i="17" l="1"/>
  <c r="D34" i="17"/>
  <c r="D35" i="17" s="1"/>
  <c r="F26" i="13"/>
  <c r="F28" i="13" s="1"/>
  <c r="B7" i="13"/>
  <c r="B8" i="13"/>
  <c r="D31" i="17" l="1"/>
  <c r="F23" i="13"/>
  <c r="F25" i="13" s="1"/>
  <c r="B19" i="13"/>
  <c r="B21" i="13" s="1"/>
  <c r="B36" i="13"/>
  <c r="B38" i="13" s="1"/>
  <c r="F20" i="13"/>
  <c r="F22" i="13" s="1"/>
  <c r="D33" i="17" l="1"/>
  <c r="B37" i="17" s="1"/>
  <c r="D9" i="9" s="1"/>
  <c r="B36" i="17"/>
  <c r="D18" i="9"/>
  <c r="F29" i="13"/>
  <c r="F31" i="13" s="1"/>
  <c r="I15" i="11" l="1"/>
  <c r="D22" i="11" l="1"/>
  <c r="I31" i="11" s="1"/>
  <c r="I20" i="11"/>
  <c r="D23" i="11" s="1"/>
  <c r="L31" i="11" s="1"/>
  <c r="K31" i="11" l="1"/>
  <c r="L32" i="11"/>
  <c r="L36" i="11"/>
  <c r="L100" i="11"/>
  <c r="L112" i="11"/>
  <c r="L120" i="11"/>
  <c r="L128" i="11"/>
  <c r="L136" i="11"/>
  <c r="L144" i="11"/>
  <c r="L152" i="11"/>
  <c r="L160" i="11"/>
  <c r="L168" i="11"/>
  <c r="L176" i="11"/>
  <c r="L184" i="11"/>
  <c r="L196" i="11"/>
  <c r="L204" i="11"/>
  <c r="L212" i="11"/>
  <c r="L220" i="11"/>
  <c r="L228" i="11"/>
  <c r="L175" i="11"/>
  <c r="L40" i="11"/>
  <c r="L44" i="11"/>
  <c r="L48" i="11"/>
  <c r="L52" i="11"/>
  <c r="L56" i="11"/>
  <c r="L60" i="11"/>
  <c r="L64" i="11"/>
  <c r="L68" i="11"/>
  <c r="L72" i="11"/>
  <c r="L76" i="11"/>
  <c r="L80" i="11"/>
  <c r="L84" i="11"/>
  <c r="L88" i="11"/>
  <c r="L92" i="11"/>
  <c r="L96" i="11"/>
  <c r="L104" i="11"/>
  <c r="L108" i="11"/>
  <c r="L116" i="11"/>
  <c r="L124" i="11"/>
  <c r="L132" i="11"/>
  <c r="L140" i="11"/>
  <c r="L148" i="11"/>
  <c r="L156" i="11"/>
  <c r="L164" i="11"/>
  <c r="L172" i="11"/>
  <c r="L180" i="11"/>
  <c r="L188" i="11"/>
  <c r="L192" i="11"/>
  <c r="L200" i="11"/>
  <c r="L208" i="11"/>
  <c r="L216" i="11"/>
  <c r="L224" i="11"/>
  <c r="L183" i="11"/>
  <c r="L215" i="11"/>
  <c r="L54" i="11"/>
  <c r="L90" i="11"/>
  <c r="L106" i="11"/>
  <c r="L122" i="11"/>
  <c r="L134" i="11"/>
  <c r="L142" i="11"/>
  <c r="L158" i="11"/>
  <c r="L166" i="11"/>
  <c r="L178" i="11"/>
  <c r="L194" i="11"/>
  <c r="L202" i="11"/>
  <c r="L218" i="11"/>
  <c r="L119" i="11"/>
  <c r="L155" i="11"/>
  <c r="L167" i="11"/>
  <c r="L195" i="11"/>
  <c r="L211" i="11"/>
  <c r="L33" i="11"/>
  <c r="L37" i="11"/>
  <c r="L41" i="11"/>
  <c r="L45" i="11"/>
  <c r="L49" i="11"/>
  <c r="L53" i="11"/>
  <c r="L57" i="11"/>
  <c r="L61" i="11"/>
  <c r="L65" i="11"/>
  <c r="L69" i="11"/>
  <c r="L73" i="11"/>
  <c r="L77" i="11"/>
  <c r="L81" i="11"/>
  <c r="L85" i="11"/>
  <c r="L89" i="11"/>
  <c r="L93" i="11"/>
  <c r="L97" i="11"/>
  <c r="L101" i="11"/>
  <c r="L105" i="11"/>
  <c r="L109" i="11"/>
  <c r="L113" i="11"/>
  <c r="L117" i="11"/>
  <c r="L121" i="11"/>
  <c r="L125" i="11"/>
  <c r="L129" i="11"/>
  <c r="L133" i="11"/>
  <c r="L137" i="11"/>
  <c r="L141" i="11"/>
  <c r="L145" i="11"/>
  <c r="L149" i="11"/>
  <c r="L153" i="11"/>
  <c r="L157" i="11"/>
  <c r="L161" i="11"/>
  <c r="L165" i="11"/>
  <c r="L169" i="11"/>
  <c r="L173" i="11"/>
  <c r="L177" i="11"/>
  <c r="L181" i="11"/>
  <c r="L185" i="11"/>
  <c r="L189" i="11"/>
  <c r="L193" i="11"/>
  <c r="L197" i="11"/>
  <c r="L201" i="11"/>
  <c r="L205" i="11"/>
  <c r="L209" i="11"/>
  <c r="L213" i="11"/>
  <c r="L217" i="11"/>
  <c r="L221" i="11"/>
  <c r="L225" i="11"/>
  <c r="L229" i="11"/>
  <c r="L62" i="11"/>
  <c r="L94" i="11"/>
  <c r="L110" i="11"/>
  <c r="L126" i="11"/>
  <c r="L138" i="11"/>
  <c r="L150" i="11"/>
  <c r="L162" i="11"/>
  <c r="L174" i="11"/>
  <c r="L186" i="11"/>
  <c r="L198" i="11"/>
  <c r="L214" i="11"/>
  <c r="L226" i="11"/>
  <c r="L123" i="11"/>
  <c r="L163" i="11"/>
  <c r="L199" i="11"/>
  <c r="L223" i="11"/>
  <c r="L70" i="11"/>
  <c r="L118" i="11"/>
  <c r="L146" i="11"/>
  <c r="L170" i="11"/>
  <c r="L190" i="11"/>
  <c r="L206" i="11"/>
  <c r="L222" i="11"/>
  <c r="L131" i="11"/>
  <c r="L191" i="11"/>
  <c r="L219" i="11"/>
  <c r="L34" i="11"/>
  <c r="L38" i="11"/>
  <c r="L42" i="11"/>
  <c r="L46" i="11"/>
  <c r="L50" i="11"/>
  <c r="L58" i="11"/>
  <c r="L66" i="11"/>
  <c r="L74" i="11"/>
  <c r="L78" i="11"/>
  <c r="L82" i="11"/>
  <c r="L86" i="11"/>
  <c r="L98" i="11"/>
  <c r="L102" i="11"/>
  <c r="L114" i="11"/>
  <c r="L130" i="11"/>
  <c r="L154" i="11"/>
  <c r="L182" i="11"/>
  <c r="L210" i="11"/>
  <c r="L139" i="11"/>
  <c r="L179" i="11"/>
  <c r="L207" i="11"/>
  <c r="L35" i="11"/>
  <c r="L39" i="11"/>
  <c r="L43" i="11"/>
  <c r="L47" i="11"/>
  <c r="L51" i="11"/>
  <c r="L55" i="11"/>
  <c r="L59" i="11"/>
  <c r="L63" i="11"/>
  <c r="L67" i="11"/>
  <c r="L71" i="11"/>
  <c r="L75" i="11"/>
  <c r="L79" i="11"/>
  <c r="L83" i="11"/>
  <c r="L87" i="11"/>
  <c r="L91" i="11"/>
  <c r="L95" i="11"/>
  <c r="L99" i="11"/>
  <c r="L103" i="11"/>
  <c r="L107" i="11"/>
  <c r="L111" i="11"/>
  <c r="L115" i="11"/>
  <c r="L127" i="11"/>
  <c r="L135" i="11"/>
  <c r="L143" i="11"/>
  <c r="L147" i="11"/>
  <c r="L151" i="11"/>
  <c r="L159" i="11"/>
  <c r="L171" i="11"/>
  <c r="L187" i="11"/>
  <c r="L203" i="11"/>
  <c r="L227" i="11"/>
  <c r="I32" i="11"/>
  <c r="K32" i="11" s="1"/>
  <c r="N32" i="11" s="1"/>
  <c r="I36" i="11"/>
  <c r="K36" i="11" s="1"/>
  <c r="I40" i="11"/>
  <c r="K40" i="11" s="1"/>
  <c r="I44" i="11"/>
  <c r="K44" i="11" s="1"/>
  <c r="I48" i="11"/>
  <c r="K48" i="11" s="1"/>
  <c r="I52" i="11"/>
  <c r="K52" i="11" s="1"/>
  <c r="I56" i="11"/>
  <c r="K56" i="11" s="1"/>
  <c r="I60" i="11"/>
  <c r="K60" i="11" s="1"/>
  <c r="I64" i="11"/>
  <c r="K64" i="11" s="1"/>
  <c r="I68" i="11"/>
  <c r="K68" i="11" s="1"/>
  <c r="I72" i="11"/>
  <c r="K72" i="11" s="1"/>
  <c r="I76" i="11"/>
  <c r="K76" i="11" s="1"/>
  <c r="I80" i="11"/>
  <c r="K80" i="11" s="1"/>
  <c r="I84" i="11"/>
  <c r="K84" i="11" s="1"/>
  <c r="I88" i="11"/>
  <c r="K88" i="11" s="1"/>
  <c r="I92" i="11"/>
  <c r="K92" i="11" s="1"/>
  <c r="I96" i="11"/>
  <c r="K96" i="11" s="1"/>
  <c r="I100" i="11"/>
  <c r="K100" i="11" s="1"/>
  <c r="I104" i="11"/>
  <c r="K104" i="11" s="1"/>
  <c r="I108" i="11"/>
  <c r="K108" i="11" s="1"/>
  <c r="I112" i="11"/>
  <c r="K112" i="11" s="1"/>
  <c r="I116" i="11"/>
  <c r="K116" i="11" s="1"/>
  <c r="I120" i="11"/>
  <c r="K120" i="11" s="1"/>
  <c r="I124" i="11"/>
  <c r="K124" i="11" s="1"/>
  <c r="I128" i="11"/>
  <c r="K128" i="11" s="1"/>
  <c r="I132" i="11"/>
  <c r="K132" i="11" s="1"/>
  <c r="I136" i="11"/>
  <c r="K136" i="11" s="1"/>
  <c r="I140" i="11"/>
  <c r="K140" i="11" s="1"/>
  <c r="I144" i="11"/>
  <c r="K144" i="11" s="1"/>
  <c r="I148" i="11"/>
  <c r="K148" i="11" s="1"/>
  <c r="I152" i="11"/>
  <c r="K152" i="11" s="1"/>
  <c r="I156" i="11"/>
  <c r="K156" i="11" s="1"/>
  <c r="I160" i="11"/>
  <c r="K160" i="11" s="1"/>
  <c r="I164" i="11"/>
  <c r="K164" i="11" s="1"/>
  <c r="I168" i="11"/>
  <c r="K168" i="11" s="1"/>
  <c r="I172" i="11"/>
  <c r="K172" i="11" s="1"/>
  <c r="I176" i="11"/>
  <c r="K176" i="11" s="1"/>
  <c r="I180" i="11"/>
  <c r="K180" i="11" s="1"/>
  <c r="I184" i="11"/>
  <c r="K184" i="11" s="1"/>
  <c r="I188" i="11"/>
  <c r="K188" i="11" s="1"/>
  <c r="I192" i="11"/>
  <c r="K192" i="11" s="1"/>
  <c r="I196" i="11"/>
  <c r="K196" i="11" s="1"/>
  <c r="I200" i="11"/>
  <c r="K200" i="11" s="1"/>
  <c r="I204" i="11"/>
  <c r="K204" i="11" s="1"/>
  <c r="I208" i="11"/>
  <c r="K208" i="11" s="1"/>
  <c r="I212" i="11"/>
  <c r="K212" i="11" s="1"/>
  <c r="I216" i="11"/>
  <c r="K216" i="11" s="1"/>
  <c r="I220" i="11"/>
  <c r="K220" i="11" s="1"/>
  <c r="I224" i="11"/>
  <c r="K224" i="11" s="1"/>
  <c r="I228" i="11"/>
  <c r="K228" i="11" s="1"/>
  <c r="I33" i="11"/>
  <c r="K33" i="11" s="1"/>
  <c r="I37" i="11"/>
  <c r="K37" i="11" s="1"/>
  <c r="I41" i="11"/>
  <c r="K41" i="11" s="1"/>
  <c r="I45" i="11"/>
  <c r="K45" i="11" s="1"/>
  <c r="I49" i="11"/>
  <c r="K49" i="11" s="1"/>
  <c r="I53" i="11"/>
  <c r="K53" i="11" s="1"/>
  <c r="I57" i="11"/>
  <c r="K57" i="11" s="1"/>
  <c r="I61" i="11"/>
  <c r="K61" i="11" s="1"/>
  <c r="I65" i="11"/>
  <c r="K65" i="11" s="1"/>
  <c r="I69" i="11"/>
  <c r="K69" i="11" s="1"/>
  <c r="I73" i="11"/>
  <c r="K73" i="11" s="1"/>
  <c r="I77" i="11"/>
  <c r="K77" i="11" s="1"/>
  <c r="I81" i="11"/>
  <c r="K81" i="11" s="1"/>
  <c r="I85" i="11"/>
  <c r="K85" i="11" s="1"/>
  <c r="I89" i="11"/>
  <c r="K89" i="11" s="1"/>
  <c r="I93" i="11"/>
  <c r="K93" i="11" s="1"/>
  <c r="I97" i="11"/>
  <c r="K97" i="11" s="1"/>
  <c r="I101" i="11"/>
  <c r="K101" i="11" s="1"/>
  <c r="I105" i="11"/>
  <c r="K105" i="11" s="1"/>
  <c r="I109" i="11"/>
  <c r="K109" i="11" s="1"/>
  <c r="I113" i="11"/>
  <c r="K113" i="11" s="1"/>
  <c r="I117" i="11"/>
  <c r="K117" i="11" s="1"/>
  <c r="I121" i="11"/>
  <c r="K121" i="11" s="1"/>
  <c r="I125" i="11"/>
  <c r="K125" i="11" s="1"/>
  <c r="I129" i="11"/>
  <c r="K129" i="11" s="1"/>
  <c r="I133" i="11"/>
  <c r="K133" i="11" s="1"/>
  <c r="I137" i="11"/>
  <c r="K137" i="11" s="1"/>
  <c r="I141" i="11"/>
  <c r="K141" i="11" s="1"/>
  <c r="I145" i="11"/>
  <c r="K145" i="11" s="1"/>
  <c r="I149" i="11"/>
  <c r="K149" i="11" s="1"/>
  <c r="I153" i="11"/>
  <c r="K153" i="11" s="1"/>
  <c r="I157" i="11"/>
  <c r="K157" i="11" s="1"/>
  <c r="I161" i="11"/>
  <c r="K161" i="11" s="1"/>
  <c r="I165" i="11"/>
  <c r="K165" i="11" s="1"/>
  <c r="I169" i="11"/>
  <c r="K169" i="11" s="1"/>
  <c r="I173" i="11"/>
  <c r="K173" i="11" s="1"/>
  <c r="I177" i="11"/>
  <c r="K177" i="11" s="1"/>
  <c r="I181" i="11"/>
  <c r="K181" i="11" s="1"/>
  <c r="I185" i="11"/>
  <c r="K185" i="11" s="1"/>
  <c r="I189" i="11"/>
  <c r="K189" i="11" s="1"/>
  <c r="I193" i="11"/>
  <c r="K193" i="11" s="1"/>
  <c r="I197" i="11"/>
  <c r="K197" i="11" s="1"/>
  <c r="I201" i="11"/>
  <c r="K201" i="11" s="1"/>
  <c r="I205" i="11"/>
  <c r="K205" i="11" s="1"/>
  <c r="I209" i="11"/>
  <c r="K209" i="11" s="1"/>
  <c r="I213" i="11"/>
  <c r="K213" i="11" s="1"/>
  <c r="I217" i="11"/>
  <c r="K217" i="11" s="1"/>
  <c r="I221" i="11"/>
  <c r="K221" i="11" s="1"/>
  <c r="I225" i="11"/>
  <c r="K225" i="11" s="1"/>
  <c r="I229" i="11"/>
  <c r="K229" i="11" s="1"/>
  <c r="I214" i="11"/>
  <c r="K214" i="11" s="1"/>
  <c r="I226" i="11"/>
  <c r="K226" i="11" s="1"/>
  <c r="I210" i="11"/>
  <c r="K210" i="11" s="1"/>
  <c r="I34" i="11"/>
  <c r="K34" i="11" s="1"/>
  <c r="I38" i="11"/>
  <c r="K38" i="11" s="1"/>
  <c r="I42" i="11"/>
  <c r="K42" i="11" s="1"/>
  <c r="I46" i="11"/>
  <c r="K46" i="11" s="1"/>
  <c r="I50" i="11"/>
  <c r="K50" i="11" s="1"/>
  <c r="I54" i="11"/>
  <c r="K54" i="11" s="1"/>
  <c r="I58" i="11"/>
  <c r="K58" i="11" s="1"/>
  <c r="I62" i="11"/>
  <c r="K62" i="11" s="1"/>
  <c r="I66" i="11"/>
  <c r="K66" i="11" s="1"/>
  <c r="I70" i="11"/>
  <c r="K70" i="11" s="1"/>
  <c r="I74" i="11"/>
  <c r="K74" i="11" s="1"/>
  <c r="I78" i="11"/>
  <c r="K78" i="11" s="1"/>
  <c r="I82" i="11"/>
  <c r="K82" i="11" s="1"/>
  <c r="I86" i="11"/>
  <c r="K86" i="11" s="1"/>
  <c r="I90" i="11"/>
  <c r="K90" i="11" s="1"/>
  <c r="I94" i="11"/>
  <c r="K94" i="11" s="1"/>
  <c r="I98" i="11"/>
  <c r="K98" i="11" s="1"/>
  <c r="I102" i="11"/>
  <c r="K102" i="11" s="1"/>
  <c r="I106" i="11"/>
  <c r="K106" i="11" s="1"/>
  <c r="I110" i="11"/>
  <c r="K110" i="11" s="1"/>
  <c r="I114" i="11"/>
  <c r="K114" i="11" s="1"/>
  <c r="I118" i="11"/>
  <c r="K118" i="11" s="1"/>
  <c r="I122" i="11"/>
  <c r="K122" i="11" s="1"/>
  <c r="I126" i="11"/>
  <c r="K126" i="11" s="1"/>
  <c r="I130" i="11"/>
  <c r="K130" i="11" s="1"/>
  <c r="I134" i="11"/>
  <c r="K134" i="11" s="1"/>
  <c r="I138" i="11"/>
  <c r="K138" i="11" s="1"/>
  <c r="I142" i="11"/>
  <c r="K142" i="11" s="1"/>
  <c r="I146" i="11"/>
  <c r="K146" i="11" s="1"/>
  <c r="I150" i="11"/>
  <c r="K150" i="11" s="1"/>
  <c r="I154" i="11"/>
  <c r="K154" i="11" s="1"/>
  <c r="I158" i="11"/>
  <c r="K158" i="11" s="1"/>
  <c r="I162" i="11"/>
  <c r="K162" i="11" s="1"/>
  <c r="I166" i="11"/>
  <c r="K166" i="11" s="1"/>
  <c r="I170" i="11"/>
  <c r="K170" i="11" s="1"/>
  <c r="I174" i="11"/>
  <c r="K174" i="11" s="1"/>
  <c r="I178" i="11"/>
  <c r="K178" i="11" s="1"/>
  <c r="I182" i="11"/>
  <c r="K182" i="11" s="1"/>
  <c r="I186" i="11"/>
  <c r="K186" i="11" s="1"/>
  <c r="I190" i="11"/>
  <c r="K190" i="11" s="1"/>
  <c r="I194" i="11"/>
  <c r="K194" i="11" s="1"/>
  <c r="I198" i="11"/>
  <c r="K198" i="11" s="1"/>
  <c r="I202" i="11"/>
  <c r="K202" i="11" s="1"/>
  <c r="I206" i="11"/>
  <c r="K206" i="11" s="1"/>
  <c r="I218" i="11"/>
  <c r="K218" i="11" s="1"/>
  <c r="I222" i="11"/>
  <c r="K222" i="11" s="1"/>
  <c r="I35" i="11"/>
  <c r="K35" i="11" s="1"/>
  <c r="I39" i="11"/>
  <c r="K39" i="11" s="1"/>
  <c r="I43" i="11"/>
  <c r="K43" i="11" s="1"/>
  <c r="I47" i="11"/>
  <c r="K47" i="11" s="1"/>
  <c r="I51" i="11"/>
  <c r="K51" i="11" s="1"/>
  <c r="I55" i="11"/>
  <c r="K55" i="11" s="1"/>
  <c r="I59" i="11"/>
  <c r="K59" i="11" s="1"/>
  <c r="I63" i="11"/>
  <c r="K63" i="11" s="1"/>
  <c r="I67" i="11"/>
  <c r="K67" i="11" s="1"/>
  <c r="I71" i="11"/>
  <c r="K71" i="11" s="1"/>
  <c r="I75" i="11"/>
  <c r="K75" i="11" s="1"/>
  <c r="I79" i="11"/>
  <c r="K79" i="11" s="1"/>
  <c r="I83" i="11"/>
  <c r="K83" i="11" s="1"/>
  <c r="I87" i="11"/>
  <c r="K87" i="11" s="1"/>
  <c r="I91" i="11"/>
  <c r="K91" i="11" s="1"/>
  <c r="I95" i="11"/>
  <c r="K95" i="11" s="1"/>
  <c r="I99" i="11"/>
  <c r="K99" i="11" s="1"/>
  <c r="I103" i="11"/>
  <c r="K103" i="11" s="1"/>
  <c r="I107" i="11"/>
  <c r="K107" i="11" s="1"/>
  <c r="I111" i="11"/>
  <c r="K111" i="11" s="1"/>
  <c r="I115" i="11"/>
  <c r="K115" i="11" s="1"/>
  <c r="I119" i="11"/>
  <c r="K119" i="11" s="1"/>
  <c r="I123" i="11"/>
  <c r="K123" i="11" s="1"/>
  <c r="I127" i="11"/>
  <c r="K127" i="11" s="1"/>
  <c r="I131" i="11"/>
  <c r="K131" i="11" s="1"/>
  <c r="I135" i="11"/>
  <c r="K135" i="11" s="1"/>
  <c r="I139" i="11"/>
  <c r="K139" i="11" s="1"/>
  <c r="I143" i="11"/>
  <c r="K143" i="11" s="1"/>
  <c r="I147" i="11"/>
  <c r="K147" i="11" s="1"/>
  <c r="I151" i="11"/>
  <c r="K151" i="11" s="1"/>
  <c r="I155" i="11"/>
  <c r="K155" i="11" s="1"/>
  <c r="I159" i="11"/>
  <c r="K159" i="11" s="1"/>
  <c r="I163" i="11"/>
  <c r="K163" i="11" s="1"/>
  <c r="I167" i="11"/>
  <c r="K167" i="11" s="1"/>
  <c r="I171" i="11"/>
  <c r="K171" i="11" s="1"/>
  <c r="I175" i="11"/>
  <c r="K175" i="11" s="1"/>
  <c r="I179" i="11"/>
  <c r="K179" i="11" s="1"/>
  <c r="I183" i="11"/>
  <c r="K183" i="11" s="1"/>
  <c r="I187" i="11"/>
  <c r="K187" i="11" s="1"/>
  <c r="I191" i="11"/>
  <c r="K191" i="11" s="1"/>
  <c r="I195" i="11"/>
  <c r="K195" i="11" s="1"/>
  <c r="I199" i="11"/>
  <c r="K199" i="11" s="1"/>
  <c r="I203" i="11"/>
  <c r="K203" i="11" s="1"/>
  <c r="I207" i="11"/>
  <c r="K207" i="11" s="1"/>
  <c r="I211" i="11"/>
  <c r="K211" i="11" s="1"/>
  <c r="I215" i="11"/>
  <c r="K215" i="11" s="1"/>
  <c r="I219" i="11"/>
  <c r="K219" i="11" s="1"/>
  <c r="I223" i="11"/>
  <c r="K223" i="11" s="1"/>
  <c r="I227" i="11"/>
  <c r="K227" i="11" s="1"/>
  <c r="O31" i="11" l="1"/>
  <c r="N31" i="11"/>
  <c r="B11" i="13"/>
  <c r="B39" i="13" l="1"/>
  <c r="B41" i="13" s="1"/>
  <c r="A22" i="13"/>
  <c r="B22" i="13"/>
  <c r="B24" i="13" s="1"/>
  <c r="O192" i="11"/>
  <c r="N192" i="11"/>
  <c r="O220" i="11"/>
  <c r="N220" i="11"/>
  <c r="N229" i="11"/>
  <c r="O229" i="11"/>
  <c r="N225" i="11"/>
  <c r="O225" i="11"/>
  <c r="N228" i="11"/>
  <c r="O228" i="11"/>
  <c r="N226" i="11"/>
  <c r="O226" i="11"/>
  <c r="O32" i="11"/>
  <c r="O72" i="11"/>
  <c r="N72" i="11"/>
  <c r="N217" i="11"/>
  <c r="O217" i="11"/>
  <c r="N153" i="11"/>
  <c r="O153" i="11"/>
  <c r="O160" i="11"/>
  <c r="N160" i="11"/>
  <c r="O218" i="11"/>
  <c r="N218" i="11"/>
  <c r="O170" i="11"/>
  <c r="N170" i="11"/>
  <c r="N82" i="11"/>
  <c r="O82" i="11"/>
  <c r="N169" i="11"/>
  <c r="O169" i="11"/>
  <c r="N113" i="11"/>
  <c r="O113" i="11"/>
  <c r="N89" i="11"/>
  <c r="O89" i="11"/>
  <c r="O123" i="11"/>
  <c r="N123" i="11"/>
  <c r="O176" i="11"/>
  <c r="N176" i="11"/>
  <c r="O152" i="11"/>
  <c r="N152" i="11"/>
  <c r="O104" i="11"/>
  <c r="N104" i="11"/>
  <c r="N179" i="11"/>
  <c r="O179" i="11"/>
  <c r="O191" i="11"/>
  <c r="N191" i="11"/>
  <c r="N127" i="11"/>
  <c r="O127" i="11"/>
  <c r="N221" i="11"/>
  <c r="O221" i="11"/>
  <c r="N196" i="11"/>
  <c r="O196" i="11"/>
  <c r="O167" i="11"/>
  <c r="N167" i="11"/>
  <c r="N54" i="11"/>
  <c r="O54" i="11"/>
  <c r="O76" i="11"/>
  <c r="N76" i="11"/>
  <c r="N98" i="11"/>
  <c r="O98" i="11"/>
  <c r="N61" i="11"/>
  <c r="O61" i="11"/>
  <c r="N120" i="11"/>
  <c r="O120" i="11"/>
  <c r="O53" i="11"/>
  <c r="N53" i="11"/>
  <c r="O207" i="11"/>
  <c r="N207" i="11"/>
  <c r="N71" i="11"/>
  <c r="O71" i="11"/>
  <c r="O222" i="11"/>
  <c r="N222" i="11"/>
  <c r="O158" i="11"/>
  <c r="N158" i="11"/>
  <c r="N134" i="11"/>
  <c r="O134" i="11"/>
  <c r="N203" i="11"/>
  <c r="O203" i="11"/>
  <c r="N173" i="11"/>
  <c r="O173" i="11"/>
  <c r="O109" i="11"/>
  <c r="N109" i="11"/>
  <c r="N212" i="11"/>
  <c r="O212" i="11"/>
  <c r="N188" i="11"/>
  <c r="O188" i="11"/>
  <c r="O130" i="11"/>
  <c r="N130" i="11"/>
  <c r="O182" i="11"/>
  <c r="N182" i="11"/>
  <c r="N155" i="11"/>
  <c r="O155" i="11"/>
  <c r="O210" i="11"/>
  <c r="N210" i="11"/>
  <c r="O146" i="11"/>
  <c r="N146" i="11"/>
  <c r="O74" i="11"/>
  <c r="N74" i="11"/>
  <c r="N161" i="11"/>
  <c r="O161" i="11"/>
  <c r="O81" i="11"/>
  <c r="N81" i="11"/>
  <c r="O67" i="11"/>
  <c r="N67" i="11"/>
  <c r="O168" i="11"/>
  <c r="N168" i="11"/>
  <c r="N96" i="11"/>
  <c r="O96" i="11"/>
  <c r="N147" i="11"/>
  <c r="O147" i="11"/>
  <c r="O183" i="11"/>
  <c r="N183" i="11"/>
  <c r="N119" i="11"/>
  <c r="O119" i="11"/>
  <c r="O95" i="11"/>
  <c r="N95" i="11"/>
  <c r="O198" i="11"/>
  <c r="N198" i="11"/>
  <c r="N70" i="11"/>
  <c r="O70" i="11"/>
  <c r="N149" i="11"/>
  <c r="O149" i="11"/>
  <c r="N195" i="11"/>
  <c r="O195" i="11"/>
  <c r="N124" i="11"/>
  <c r="O124" i="11"/>
  <c r="N99" i="11"/>
  <c r="O99" i="11"/>
  <c r="N197" i="11"/>
  <c r="O197" i="11"/>
  <c r="N133" i="11"/>
  <c r="O133" i="11"/>
  <c r="O139" i="11"/>
  <c r="N139" i="11"/>
  <c r="O186" i="11"/>
  <c r="N186" i="11"/>
  <c r="N114" i="11"/>
  <c r="O114" i="11"/>
  <c r="O90" i="11"/>
  <c r="N90" i="11"/>
  <c r="N201" i="11"/>
  <c r="O201" i="11"/>
  <c r="O137" i="11"/>
  <c r="N137" i="11"/>
  <c r="O208" i="11"/>
  <c r="N208" i="11"/>
  <c r="O144" i="11"/>
  <c r="N144" i="11"/>
  <c r="N64" i="11"/>
  <c r="O64" i="11"/>
  <c r="N223" i="11"/>
  <c r="O223" i="11"/>
  <c r="O159" i="11"/>
  <c r="N159" i="11"/>
  <c r="N163" i="11"/>
  <c r="O163" i="11"/>
  <c r="O174" i="11"/>
  <c r="N174" i="11"/>
  <c r="N110" i="11"/>
  <c r="O110" i="11"/>
  <c r="N189" i="11"/>
  <c r="O189" i="11"/>
  <c r="O125" i="11"/>
  <c r="N125" i="11"/>
  <c r="N75" i="11"/>
  <c r="O75" i="11"/>
  <c r="N204" i="11"/>
  <c r="O204" i="11"/>
  <c r="N92" i="11"/>
  <c r="O92" i="11"/>
  <c r="N145" i="11"/>
  <c r="O145" i="11"/>
  <c r="N103" i="11"/>
  <c r="O103" i="11"/>
  <c r="N148" i="11"/>
  <c r="O148" i="11"/>
  <c r="N211" i="11"/>
  <c r="O211" i="11"/>
  <c r="N177" i="11"/>
  <c r="O177" i="11"/>
  <c r="N105" i="11"/>
  <c r="O105" i="11"/>
  <c r="N219" i="11"/>
  <c r="O219" i="11"/>
  <c r="O224" i="11"/>
  <c r="N224" i="11"/>
  <c r="O184" i="11"/>
  <c r="N184" i="11"/>
  <c r="N112" i="11"/>
  <c r="O112" i="11"/>
  <c r="N135" i="11"/>
  <c r="O135" i="11"/>
  <c r="N63" i="11"/>
  <c r="O63" i="11"/>
  <c r="N86" i="11"/>
  <c r="O86" i="11"/>
  <c r="O62" i="11"/>
  <c r="N62" i="11"/>
  <c r="N131" i="11"/>
  <c r="O131" i="11"/>
  <c r="N165" i="11"/>
  <c r="O165" i="11"/>
  <c r="N93" i="11"/>
  <c r="O93" i="11"/>
  <c r="N140" i="11"/>
  <c r="O140" i="11"/>
  <c r="O116" i="11"/>
  <c r="N116" i="11"/>
  <c r="N68" i="11"/>
  <c r="O68" i="11"/>
  <c r="N187" i="11"/>
  <c r="O187" i="11"/>
  <c r="O194" i="11"/>
  <c r="N194" i="11"/>
  <c r="O216" i="11"/>
  <c r="N216" i="11"/>
  <c r="O202" i="11"/>
  <c r="N202" i="11"/>
  <c r="N138" i="11"/>
  <c r="O138" i="11"/>
  <c r="N58" i="11"/>
  <c r="O58" i="11"/>
  <c r="N65" i="11"/>
  <c r="O65" i="11"/>
  <c r="N107" i="11"/>
  <c r="O107" i="11"/>
  <c r="O175" i="11"/>
  <c r="N175" i="11"/>
  <c r="O111" i="11"/>
  <c r="N111" i="11"/>
  <c r="N126" i="11"/>
  <c r="O126" i="11"/>
  <c r="N205" i="11"/>
  <c r="O205" i="11"/>
  <c r="N141" i="11"/>
  <c r="O141" i="11"/>
  <c r="N180" i="11"/>
  <c r="O180" i="11"/>
  <c r="N156" i="11"/>
  <c r="O156" i="11"/>
  <c r="O132" i="11"/>
  <c r="N132" i="11"/>
  <c r="O60" i="11"/>
  <c r="N60" i="11"/>
  <c r="N209" i="11"/>
  <c r="O209" i="11"/>
  <c r="N57" i="11"/>
  <c r="O57" i="11"/>
  <c r="N77" i="11"/>
  <c r="O77" i="11"/>
  <c r="O100" i="11"/>
  <c r="N100" i="11"/>
  <c r="O162" i="11"/>
  <c r="N162" i="11"/>
  <c r="O88" i="11"/>
  <c r="N88" i="11"/>
  <c r="O154" i="11"/>
  <c r="N154" i="11"/>
  <c r="N106" i="11"/>
  <c r="O106" i="11"/>
  <c r="O83" i="11"/>
  <c r="N83" i="11"/>
  <c r="N193" i="11"/>
  <c r="O193" i="11"/>
  <c r="N121" i="11"/>
  <c r="O121" i="11"/>
  <c r="O200" i="11"/>
  <c r="N200" i="11"/>
  <c r="O128" i="11"/>
  <c r="N128" i="11"/>
  <c r="N56" i="11"/>
  <c r="O56" i="11"/>
  <c r="N215" i="11"/>
  <c r="O215" i="11"/>
  <c r="O151" i="11"/>
  <c r="N151" i="11"/>
  <c r="N79" i="11"/>
  <c r="O79" i="11"/>
  <c r="O55" i="11"/>
  <c r="N55" i="11"/>
  <c r="N91" i="11"/>
  <c r="O91" i="11"/>
  <c r="O102" i="11"/>
  <c r="N102" i="11"/>
  <c r="N78" i="11"/>
  <c r="O78" i="11"/>
  <c r="N85" i="11"/>
  <c r="O85" i="11"/>
  <c r="N181" i="11"/>
  <c r="O181" i="11"/>
  <c r="N117" i="11"/>
  <c r="O117" i="11"/>
  <c r="O69" i="11"/>
  <c r="N69" i="11"/>
  <c r="N172" i="11"/>
  <c r="O172" i="11"/>
  <c r="N84" i="11"/>
  <c r="O84" i="11"/>
  <c r="N178" i="11" l="1"/>
  <c r="N143" i="11"/>
  <c r="O164" i="11"/>
  <c r="O227" i="11"/>
  <c r="O185" i="11"/>
  <c r="O178" i="11"/>
  <c r="N213" i="11"/>
  <c r="N164" i="11"/>
  <c r="O213" i="11"/>
  <c r="O206" i="11"/>
  <c r="O157" i="11"/>
  <c r="N227" i="11"/>
  <c r="N185" i="11"/>
  <c r="N171" i="11"/>
  <c r="O143" i="11"/>
  <c r="O171" i="11"/>
  <c r="N150" i="11"/>
  <c r="O199" i="11"/>
  <c r="N206" i="11"/>
  <c r="N199" i="11"/>
  <c r="O150" i="11"/>
  <c r="N157" i="11"/>
  <c r="N33" i="11"/>
  <c r="O122" i="11"/>
  <c r="N122" i="11"/>
  <c r="O59" i="11"/>
  <c r="N59" i="11"/>
  <c r="O87" i="11"/>
  <c r="N87" i="11"/>
  <c r="O97" i="11"/>
  <c r="N97" i="11"/>
  <c r="O115" i="11"/>
  <c r="N115" i="11"/>
  <c r="O108" i="11"/>
  <c r="N108" i="11"/>
  <c r="O80" i="11"/>
  <c r="N80" i="11"/>
  <c r="O129" i="11"/>
  <c r="N129" i="11"/>
  <c r="O66" i="11"/>
  <c r="N66" i="11"/>
  <c r="O73" i="11"/>
  <c r="N73" i="11"/>
  <c r="O136" i="11"/>
  <c r="N136" i="11"/>
  <c r="O101" i="11"/>
  <c r="N101" i="11"/>
  <c r="O52" i="11"/>
  <c r="N52" i="11"/>
  <c r="O94" i="11" l="1"/>
  <c r="N94" i="11"/>
  <c r="O33" i="11"/>
  <c r="N34" i="11"/>
  <c r="N118" i="11" l="1"/>
  <c r="O118" i="11"/>
  <c r="O34" i="11"/>
  <c r="N35" i="11"/>
  <c r="N142" i="11" l="1"/>
  <c r="O142" i="11"/>
  <c r="O35" i="11"/>
  <c r="N36" i="11"/>
  <c r="O166" i="11" l="1"/>
  <c r="N166" i="11"/>
  <c r="B12" i="13" a="1"/>
  <c r="B12" i="13" s="1"/>
  <c r="O36" i="11"/>
  <c r="N37" i="11"/>
  <c r="A25" i="13" l="1"/>
  <c r="B25" i="13"/>
  <c r="B42" i="13"/>
  <c r="O190" i="11"/>
  <c r="N190" i="11"/>
  <c r="O37" i="11"/>
  <c r="N38" i="11"/>
  <c r="B27" i="13" l="1"/>
  <c r="B28" i="13" s="1"/>
  <c r="A39" i="13" s="1"/>
  <c r="C27" i="13"/>
  <c r="B29" i="13" s="1"/>
  <c r="O214" i="11"/>
  <c r="N214" i="11"/>
  <c r="C44" i="13"/>
  <c r="B46" i="13" s="1"/>
  <c r="B44" i="13"/>
  <c r="B45" i="13" s="1"/>
  <c r="O38" i="11"/>
  <c r="N39" i="11"/>
  <c r="B47" i="13" l="1"/>
  <c r="A42" i="13"/>
  <c r="B30" i="13"/>
  <c r="O39" i="11"/>
  <c r="N40" i="11"/>
  <c r="O40" i="11" l="1"/>
  <c r="N41" i="11"/>
  <c r="O41" i="11" l="1"/>
  <c r="N42" i="11"/>
  <c r="N43" i="11" l="1"/>
  <c r="O42" i="11"/>
  <c r="O43" i="11" l="1"/>
  <c r="N44" i="11"/>
  <c r="O44" i="11" l="1"/>
  <c r="N45" i="11"/>
  <c r="N46" i="11" l="1"/>
  <c r="O45" i="11"/>
  <c r="O46" i="11" l="1"/>
  <c r="N47" i="11"/>
  <c r="O47" i="11" l="1"/>
  <c r="N48" i="11"/>
  <c r="O48" i="11" l="1"/>
  <c r="N49" i="11"/>
  <c r="O49" i="11" l="1"/>
  <c r="N50" i="11"/>
  <c r="N51" i="11" l="1"/>
  <c r="N28" i="11" s="1"/>
  <c r="O50" i="11"/>
  <c r="O51" i="11" l="1"/>
  <c r="O28" i="11" l="1"/>
  <c r="D15" i="9" s="1"/>
  <c r="D20" i="9" s="1"/>
  <c r="D8" i="9"/>
  <c r="D10" i="9" l="1"/>
</calcChain>
</file>

<file path=xl/sharedStrings.xml><?xml version="1.0" encoding="utf-8"?>
<sst xmlns="http://schemas.openxmlformats.org/spreadsheetml/2006/main" count="208" uniqueCount="158">
  <si>
    <t>Bundesland</t>
  </si>
  <si>
    <t>LBFW mit Ausgleich</t>
  </si>
  <si>
    <t>Baden-Württemberg</t>
  </si>
  <si>
    <t>Bayern</t>
  </si>
  <si>
    <t>Berlin</t>
  </si>
  <si>
    <t>Brandenburg</t>
  </si>
  <si>
    <t>Bremen</t>
  </si>
  <si>
    <t>Hamburg</t>
  </si>
  <si>
    <t>Hessen</t>
  </si>
  <si>
    <t>Mecklenburg-Vorpommern</t>
  </si>
  <si>
    <t>Niedersachsen</t>
  </si>
  <si>
    <t>Nordrhein-Westfalen</t>
  </si>
  <si>
    <t>Rheinland-Pfalz</t>
  </si>
  <si>
    <t>Saarland</t>
  </si>
  <si>
    <t>Sachsen</t>
  </si>
  <si>
    <t xml:space="preserve">Sachsen-Anhalt </t>
  </si>
  <si>
    <t>Schleswig-Holstein</t>
  </si>
  <si>
    <t>Thüringen</t>
  </si>
  <si>
    <t>Eingabefeld</t>
  </si>
  <si>
    <t>Gesamt Plan 2020</t>
  </si>
  <si>
    <t>1. Geplante stationäre Erlöse in EURO</t>
  </si>
  <si>
    <t>2. Geplante stationäre Erlöse in Casemix-Punkten</t>
  </si>
  <si>
    <t xml:space="preserve">Landesbasisfallwert für </t>
  </si>
  <si>
    <t>Geplante Casemix-Punkte</t>
  </si>
  <si>
    <t xml:space="preserve">Kalendertage pro Jahr </t>
  </si>
  <si>
    <t>COVID-19-Pauschale pro freiem Bett pro Kalendertag</t>
  </si>
  <si>
    <t>Auswirkungen des COVID-19-Krankenhausentlastungsgesetz auf das Pflegebudget</t>
  </si>
  <si>
    <t>COVID-19-Pflegeentgeltpauschale</t>
  </si>
  <si>
    <t>Auswirkungen des COVID-19-Krankenhausentlastungsgesetz für finanzielle Situation der Krankenhäuser</t>
  </si>
  <si>
    <t>16.03.2020 - 30.09.2020</t>
  </si>
  <si>
    <t>01.04.2020 - 30.06.2020</t>
  </si>
  <si>
    <t>Einmalzahlung</t>
  </si>
  <si>
    <t>Die stationären Erlöse werden berechnet durch:</t>
  </si>
  <si>
    <t>Wesentliche Änderungen des COVID-19-Krankenhausentlastungsgesetz</t>
  </si>
  <si>
    <t>Maßnahmen</t>
  </si>
  <si>
    <t>Zeitraum</t>
  </si>
  <si>
    <t>1. Annahmen und Eingabeparameter</t>
  </si>
  <si>
    <t>2. Berechnung der Finanzierungslücke zwischen geplanten Pflegeerlösen und Pflegeerlösen bei COVID-19-Pflegeentgeltpauschale</t>
  </si>
  <si>
    <t>Reduktion auf 5 Tage - 2020</t>
  </si>
  <si>
    <t>Von 12,5% pro Quartal auf 5% pro Quartal - 2020</t>
  </si>
  <si>
    <r>
      <t xml:space="preserve">Mit Einführung des COVID-19-Krankenhausentlastungsgesetzes sollen die wirtschaftlichen Folgen für Krankenhäuser und Vertragsärzte aufgefangen werden. Das Gesetz sieht acht wesentliche Maßnahmen zur finanziellen und teilweisen wirtschaftlichen Entlastung der Krankenhäuser vor.
Die durch Verschiebung oder Aussetzung planbarer Aufnahmen, Eingriffe oder Operationen hervorgerufenen Einnahmeausfälle werden ausgeglichen, indem Krankenhäuser einen Pauschalbetrag erhalten. Die Höhe des Pauschalbetrages richtet sich danach, wie stark die aktuelle  Zahl  der  voll- oder teilstationär behandelten Patientinnen und Patienten von der Zahl der im Jahr 2019 durchschnittlich pro Tag voll- oder teilstationär behandelten Patientinnen und Patienten abweicht. Für zusätzlich geschaffene oder vorgehaltene Intensivbetten erhalten Krankenhäuser einen Pauschalbetrag. Für Mehrkosten, insbesondere bei persönlichen Schutzausrüstungen, erhalten Krankenhäuser vom 1. April bis zum 30. Juni 2020 einen Zuschlag je Patient in Höhe von 50 Euro, der bei Bedarf verlängert und erhöht werden  kann. Zum anderen sind weitere Maßnahmen zur Stärkung der Finanzierung der Krankenhäuser vorgesehen, um diese bei der aktuellen Krisenbewältigung zu entlasten. Diese Maßnahmen sehen eine Erhöhung des vorläufigen Pflegeentgeltwerts vor, wodurch nicht nur die Liquidität der Krankenhäuser verbessert  wird, sondern auch erhebliche Zusatzeinnahmen entstehen. Ferner werden u.a. umfassende Erleichterungen bei der Rechnungsprüfung durch den Medizinischen Dienst, eine Aussetzung des Fixkostendegressionsabschlags für das Jahr 2020 und eine höhere Flexibilität bei den Erlösausgleichen vorgenommen. Schließlich wird die Liquidität der Krankenhäuser durch eine auf fünf Tage verkürzte Zahlungsfrist in diesem Jahr zusätzlich gestärkt.  
Wir haben für die Nachkalkulation der Ausgleichszahlungen für Einnahmeausfälle, Erhöhung der Pflegeentgeltpauschale, Zuschläge für Mehrkosten sowie Pauschale für zusätzliche intensivmedizinische Behandlungskapazitäten eine Abschätzung des tatsächlichen finanziellen Aufwands erstellt. 
Für Fragen zur Anwendung stehen wir Ihnen gerne zur Verfügung.
</t>
    </r>
    <r>
      <rPr>
        <i/>
        <sz val="11"/>
        <color theme="1"/>
        <rFont val="Avenir Next LT Pro"/>
        <family val="2"/>
      </rPr>
      <t>Dr. Joerg Risse, Geschäftsführer, Vicondo Healthcare GmbH</t>
    </r>
  </si>
  <si>
    <t>Abschätzung der finanziellen Auswirkungen des COVID-19-Krankenhausentlastungsgesetz für Krankenhäuser</t>
  </si>
  <si>
    <t>Kalendertage für den finanzierten Zeitraum</t>
  </si>
  <si>
    <t>Finanzierungslücke pro Kalendertag bei stationären Erlösen bei Minderbelegung</t>
  </si>
  <si>
    <t>Maßnahme</t>
  </si>
  <si>
    <t>Bemerkung</t>
  </si>
  <si>
    <t>Auswirkungen</t>
  </si>
  <si>
    <t>Kalender-
woche</t>
  </si>
  <si>
    <t>2. Geplante stationäre Erlöse 2020</t>
  </si>
  <si>
    <t>Erlöse in EUR</t>
  </si>
  <si>
    <t>Berechnungsgrundlage zur Bestimmung der Ausgleichszahlungen für Minderauslastung durch Freihaltung von Betten</t>
  </si>
  <si>
    <t>Differenz zum Vorjahr in %</t>
  </si>
  <si>
    <t>Geplante stationäre Erlöse 2020 aus DRG/PEPP-Fallpauschalen (abzgl. Pflegebudget in der Somatik)</t>
  </si>
  <si>
    <t>Auszuwählender Filter</t>
  </si>
  <si>
    <t>1. Allgemeine Annahmen und Eingabeparameter</t>
  </si>
  <si>
    <t>Erlöse aus Krankenhausleistungen (stationäre, ambulante, tagesklinische und rehabilitative Erlöse &amp; WL) gesamt 2020 pro Kalendertag bei Minderbelegung</t>
  </si>
  <si>
    <t xml:space="preserve">Finanzierungslücke pro Kalendertag bei Erlösen aus Krankenhausleistungen (stationären &amp; ambulanten Erlösen &amp; WL) bei Minderbelegung </t>
  </si>
  <si>
    <t>Differenz zum Vorjahr in % (=Minderauslastung)</t>
  </si>
  <si>
    <t>im Zeitraum von … bis …</t>
  </si>
  <si>
    <t xml:space="preserve">I Ausgleichzahlungen für Einnahmeausfälle </t>
  </si>
  <si>
    <t xml:space="preserve">II Pflegeentgeltpauschale </t>
  </si>
  <si>
    <t xml:space="preserve">III Mehrkostenpauschale Schutzausrüstung </t>
  </si>
  <si>
    <t>IV Schaffung zusätzlicher Intensivkapazitäten</t>
  </si>
  <si>
    <t xml:space="preserve">V Reduzierung der Prüfquote des Medizinischen Dienstes </t>
  </si>
  <si>
    <t>VI Streichung des Aufschlages für beanstandete Rechnungen</t>
  </si>
  <si>
    <t>VII Aussetzung des Fixkostendegressionsabschlags</t>
  </si>
  <si>
    <t xml:space="preserve">VIII Verkürzung der Zahlungsfrist </t>
  </si>
  <si>
    <t>I Ausgleichszahlungen für Einnahmeausfälle</t>
  </si>
  <si>
    <t>II Pflegeentgeltpauschale</t>
  </si>
  <si>
    <t>3. Eingabebereich der krankenhausspezifischen Belegungsdaten</t>
  </si>
  <si>
    <t>Pflege-CMI</t>
  </si>
  <si>
    <r>
      <t xml:space="preserve">Anzahl bereitgehaltener </t>
    </r>
    <r>
      <rPr>
        <b/>
        <u/>
        <sz val="9"/>
        <color theme="1"/>
        <rFont val="Avenir Next LT Pro"/>
        <family val="2"/>
      </rPr>
      <t>tagesklinischer</t>
    </r>
    <r>
      <rPr>
        <b/>
        <sz val="9"/>
        <color theme="1"/>
        <rFont val="Avenir Next LT Pro"/>
        <family val="2"/>
      </rPr>
      <t xml:space="preserve"> Plätze für COVID-19-Patienten 2020 am jeweiligen Tag</t>
    </r>
  </si>
  <si>
    <r>
      <t xml:space="preserve">Anzahl bereitgehaltener </t>
    </r>
    <r>
      <rPr>
        <b/>
        <u/>
        <sz val="9"/>
        <color theme="1"/>
        <rFont val="Avenir Next LT Pro"/>
        <family val="2"/>
      </rPr>
      <t>Reha-Plätze</t>
    </r>
    <r>
      <rPr>
        <b/>
        <sz val="9"/>
        <color theme="1"/>
        <rFont val="Avenir Next LT Pro"/>
        <family val="2"/>
      </rPr>
      <t xml:space="preserve"> für COVID-19-Patienten 2020 am jeweiligen Tag</t>
    </r>
  </si>
  <si>
    <t>Ergebnis: Auswirkungen der verminderten Patientenzahlen und freigehaltenen Betten auf die Erlöse</t>
  </si>
  <si>
    <t>Prozentuale Minderauslastung ambulanter Bereich</t>
  </si>
  <si>
    <t>Pflegeentgeltpauschale</t>
  </si>
  <si>
    <t>Tage</t>
  </si>
  <si>
    <t>Belegungstage 01.01.2020-15.03.2020</t>
  </si>
  <si>
    <t>Belegungstage 16.03.2020-31.03.2020</t>
  </si>
  <si>
    <t>Belegungstage 01.04.2020-31.12.2020</t>
  </si>
  <si>
    <t>Belegungstage gesamt</t>
  </si>
  <si>
    <t>Prozentuale Minderbelegung (16.03.2020-31.03.2020)</t>
  </si>
  <si>
    <t>Prozentuale Minderbelegung (01.04.2020-31.12.2020)</t>
  </si>
  <si>
    <t>Summe der Pflegebewertungsrelationen vom 01.01.2020-15.03.2020</t>
  </si>
  <si>
    <t>Erlösbudget vom 01.01.2020-15.03.2020</t>
  </si>
  <si>
    <t>Erlösbudget vom 16.03.2020-31.03.2020</t>
  </si>
  <si>
    <t xml:space="preserve">Geplante Pflegeerlöse </t>
  </si>
  <si>
    <t>Pflegeerlöse durch COVID-19-Pflegeentgeltpauschale</t>
  </si>
  <si>
    <t xml:space="preserve">Pflegeentgeltpauschale </t>
  </si>
  <si>
    <t>Gesamtjahr</t>
  </si>
  <si>
    <t>Geplantes Pflegeerlöse ohne Minderbelegung je Tag</t>
  </si>
  <si>
    <t>Je Kalendertag</t>
  </si>
  <si>
    <r>
      <t xml:space="preserve">Finanzierungslücke zwischen </t>
    </r>
    <r>
      <rPr>
        <b/>
        <sz val="9"/>
        <color theme="1"/>
        <rFont val="Avenir Next LT Pro"/>
        <family val="2"/>
      </rPr>
      <t xml:space="preserve">geplanten Pflegeerlösen </t>
    </r>
    <r>
      <rPr>
        <sz val="9"/>
        <color theme="1"/>
        <rFont val="Avenir Next LT Pro"/>
        <family val="2"/>
      </rPr>
      <t>laut Businessplan</t>
    </r>
    <r>
      <rPr>
        <b/>
        <sz val="9"/>
        <color theme="1"/>
        <rFont val="Avenir Next LT Pro"/>
        <family val="2"/>
      </rPr>
      <t xml:space="preserve"> 2020</t>
    </r>
    <r>
      <rPr>
        <sz val="9"/>
        <color theme="1"/>
        <rFont val="Avenir Next LT Pro"/>
        <family val="2"/>
      </rPr>
      <t xml:space="preserve"> pro Kalendertag und </t>
    </r>
    <r>
      <rPr>
        <b/>
        <sz val="9"/>
        <color theme="1"/>
        <rFont val="Avenir Next LT Pro"/>
        <family val="2"/>
      </rPr>
      <t>tatsächlichen Pflegeerlösen</t>
    </r>
    <r>
      <rPr>
        <sz val="9"/>
        <color theme="1"/>
        <rFont val="Avenir Next LT Pro"/>
        <family val="2"/>
      </rPr>
      <t xml:space="preserve"> pro Kalendertag bei COVID-19-Pflegeentgeltpauschale (mit Minderbelegung)</t>
    </r>
  </si>
  <si>
    <t>Geplantes Pflegeerlöse ohne Minderbelegung Gesamtjahr</t>
  </si>
  <si>
    <t xml:space="preserve">Geplante Pflegeerlöse mit Minderbelegung </t>
  </si>
  <si>
    <t>Pflegeerlöse durch COVID-19-Pflegeentgeltpauschale ab 01.04.2020 und Minderbelegung</t>
  </si>
  <si>
    <r>
      <t xml:space="preserve">Finanzierungslücke zwischen </t>
    </r>
    <r>
      <rPr>
        <b/>
        <sz val="9"/>
        <color theme="1"/>
        <rFont val="Avenir Next LT Pro"/>
        <family val="2"/>
      </rPr>
      <t xml:space="preserve">geplanten Pflegeerlösen </t>
    </r>
    <r>
      <rPr>
        <sz val="9"/>
        <color theme="1"/>
        <rFont val="Avenir Next LT Pro"/>
        <family val="2"/>
      </rPr>
      <t>laut Businessplan</t>
    </r>
    <r>
      <rPr>
        <b/>
        <sz val="9"/>
        <color theme="1"/>
        <rFont val="Avenir Next LT Pro"/>
        <family val="2"/>
      </rPr>
      <t xml:space="preserve"> 2020</t>
    </r>
    <r>
      <rPr>
        <sz val="9"/>
        <color theme="1"/>
        <rFont val="Avenir Next LT Pro"/>
        <family val="2"/>
      </rPr>
      <t xml:space="preserve"> und </t>
    </r>
    <r>
      <rPr>
        <b/>
        <sz val="9"/>
        <color theme="1"/>
        <rFont val="Avenir Next LT Pro"/>
        <family val="2"/>
      </rPr>
      <t>tatsächlichen Pflegeerlösen</t>
    </r>
    <r>
      <rPr>
        <sz val="9"/>
        <color theme="1"/>
        <rFont val="Avenir Next LT Pro"/>
        <family val="2"/>
      </rPr>
      <t xml:space="preserve">  bei COVID-19-Pflegeentgeltpauschale Gesamtjahr (mit Minderbelegung)</t>
    </r>
  </si>
  <si>
    <t>01.04.2020 - 31.12.2020</t>
  </si>
  <si>
    <t>COVID-19 Pflegeentgeltpauschale</t>
  </si>
  <si>
    <t>Geplante Pflegeentgeltpauschale</t>
  </si>
  <si>
    <t>2. Berechnung der Finanzierungslücke zwischen geplanten Pflegeerlösen und Pflegeerlösen bei COVID-19 Pflegeentgeltpauschale</t>
  </si>
  <si>
    <r>
      <t xml:space="preserve">Belegungstage </t>
    </r>
    <r>
      <rPr>
        <b/>
        <sz val="9"/>
        <color theme="1"/>
        <rFont val="Avenir Next LT Pro"/>
        <family val="2"/>
      </rPr>
      <t>01.01.2020-15.03.2020</t>
    </r>
  </si>
  <si>
    <r>
      <t xml:space="preserve">Belegungstage </t>
    </r>
    <r>
      <rPr>
        <b/>
        <sz val="9"/>
        <color theme="1"/>
        <rFont val="Avenir Next LT Pro"/>
        <family val="2"/>
      </rPr>
      <t>16.03.2020-31.03.2020</t>
    </r>
  </si>
  <si>
    <r>
      <t xml:space="preserve">Belegungstage </t>
    </r>
    <r>
      <rPr>
        <b/>
        <sz val="9"/>
        <color theme="1"/>
        <rFont val="Avenir Next LT Pro"/>
        <family val="2"/>
      </rPr>
      <t>01.04.2020-31.12.2020</t>
    </r>
  </si>
  <si>
    <r>
      <t xml:space="preserve">Prozentuale Minderbelegung </t>
    </r>
    <r>
      <rPr>
        <b/>
        <sz val="9"/>
        <color theme="1"/>
        <rFont val="Avenir Next LT Pro"/>
        <family val="2"/>
      </rPr>
      <t>(16.03.2020-31.03.2020)</t>
    </r>
  </si>
  <si>
    <r>
      <t xml:space="preserve">Prozentuale Minderbelegung </t>
    </r>
    <r>
      <rPr>
        <b/>
        <sz val="9"/>
        <color theme="1"/>
        <rFont val="Avenir Next LT Pro"/>
        <family val="2"/>
      </rPr>
      <t>(01.04.2020-31.12.2020)</t>
    </r>
  </si>
  <si>
    <r>
      <t xml:space="preserve">Pflegetage vom </t>
    </r>
    <r>
      <rPr>
        <b/>
        <sz val="9"/>
        <color theme="1"/>
        <rFont val="Avenir Next LT Pro"/>
        <family val="2"/>
      </rPr>
      <t>01.01.2020-15.03.2020</t>
    </r>
  </si>
  <si>
    <t>Erlösbudget vom 01.01.2020-15.03.2020 pro Kalendertag</t>
  </si>
  <si>
    <t>Erlösbudget vom 16.03.2020-31.03.2020 pro Kalendertag</t>
  </si>
  <si>
    <t>Erlösbudget vom 01.04.2020-31.12.2020 pro Kalendertag</t>
  </si>
  <si>
    <t>Pflegetage pro Kalendertag</t>
  </si>
  <si>
    <t>Ergebnis für den jeweils ausgewählten Zeitraum</t>
  </si>
  <si>
    <t>2020 und 2021</t>
  </si>
  <si>
    <t>Geplante stationäre DRG-Erlöse pro Kalendertag in 2020</t>
  </si>
  <si>
    <t>Erlöse aus Krankenhausleistungen (stationäre, ambulante, tages-
klinische &amp; rehabilitative Erlöse &amp; Wahlleistung) gesamt 2020 pro Kalendertag</t>
  </si>
  <si>
    <t xml:space="preserve">Stationäre DRG-Erlöse 2020 pro Kalendertag bei Minderbelegung </t>
  </si>
  <si>
    <t>Handhabung des Tools</t>
  </si>
  <si>
    <r>
      <t xml:space="preserve">Finanzierungslücke zwischen geplanter und tatsächlicher Pflegeentgeltpauschale pro Kalendertag </t>
    </r>
    <r>
      <rPr>
        <b/>
        <sz val="10"/>
        <color theme="1"/>
        <rFont val="Avenir Next LT Pro"/>
        <family val="2"/>
      </rPr>
      <t>ab 01.04.2020</t>
    </r>
  </si>
  <si>
    <t>Ergebnis für den jeweils ausgewählten Zeitraum, Berechnung beginnend am 01.04.2020 (Minderbelegung vor dem 31.03.2020 ist im "Pflegebudget" dargestellt).</t>
  </si>
  <si>
    <t>Pflegebudget vom 01.01.2020-15.03.2020</t>
  </si>
  <si>
    <t>Pflegebudget vom 16.03.2020-31.03.2020</t>
  </si>
  <si>
    <t>Pflegebudget vom 01.04.2020-31.12.2020</t>
  </si>
  <si>
    <t>Zeitraumbezogene  Finanzierungslücke</t>
  </si>
  <si>
    <t>Zeitraumsbezogene Finanzierungslücke</t>
  </si>
  <si>
    <t>Entstandene Finanzierungslücke Gesamtjahr</t>
  </si>
  <si>
    <r>
      <t>Zur Nutzung des Tools muss der Anwender im Tabellenblatt "</t>
    </r>
    <r>
      <rPr>
        <b/>
        <sz val="9"/>
        <color theme="4"/>
        <rFont val="Avenir Next LT Pro"/>
        <family val="2"/>
      </rPr>
      <t>Ausgleichszahlungen</t>
    </r>
    <r>
      <rPr>
        <sz val="9"/>
        <color theme="1"/>
        <rFont val="Avenir Next LT Pro"/>
        <family val="2"/>
      </rPr>
      <t>" sowie im Tabellenblatt "</t>
    </r>
    <r>
      <rPr>
        <b/>
        <sz val="9"/>
        <color theme="4"/>
        <rFont val="Avenir Next LT Pro"/>
        <family val="2"/>
      </rPr>
      <t>Pflegebudget</t>
    </r>
    <r>
      <rPr>
        <sz val="9"/>
        <color theme="1"/>
        <rFont val="Avenir Next LT Pro"/>
        <family val="2"/>
      </rPr>
      <t>" die markierten Eingabefelder mit den krankenhausindividuellen Daten ausfüllen.
Im Tabellenblatt "</t>
    </r>
    <r>
      <rPr>
        <b/>
        <sz val="9"/>
        <color theme="4"/>
        <rFont val="Avenir Next LT Pro"/>
        <family val="2"/>
      </rPr>
      <t>Ausgleichszahlungen</t>
    </r>
    <r>
      <rPr>
        <sz val="9"/>
        <color theme="1"/>
        <rFont val="Avenir Next LT Pro"/>
        <family val="2"/>
      </rPr>
      <t xml:space="preserve">" sind neben den </t>
    </r>
    <r>
      <rPr>
        <b/>
        <sz val="9"/>
        <color theme="4"/>
        <rFont val="Avenir Next LT Pro"/>
        <family val="2"/>
      </rPr>
      <t>allgemeinen Angaben und Eingabeparameter</t>
    </r>
    <r>
      <rPr>
        <sz val="9"/>
        <color theme="1"/>
        <rFont val="Avenir Next LT Pro"/>
        <family val="2"/>
      </rPr>
      <t xml:space="preserve">  die </t>
    </r>
    <r>
      <rPr>
        <b/>
        <sz val="9"/>
        <color theme="4"/>
        <rFont val="Avenir Next LT Pro"/>
        <family val="2"/>
      </rPr>
      <t>geplanten stationären Erlöse 2020</t>
    </r>
    <r>
      <rPr>
        <sz val="9"/>
        <color theme="1"/>
        <rFont val="Avenir Next LT Pro"/>
        <family val="2"/>
      </rPr>
      <t xml:space="preserve"> einzutragen. Zusätzlich sind die</t>
    </r>
    <r>
      <rPr>
        <sz val="9"/>
        <color theme="4"/>
        <rFont val="Avenir Next LT Pro"/>
        <family val="2"/>
      </rPr>
      <t xml:space="preserve"> </t>
    </r>
    <r>
      <rPr>
        <b/>
        <sz val="9"/>
        <color theme="4"/>
        <rFont val="Avenir Next LT Pro"/>
        <family val="2"/>
      </rPr>
      <t>krankenhausspezifischen Belegungsdaten</t>
    </r>
    <r>
      <rPr>
        <sz val="9"/>
        <color theme="1"/>
        <rFont val="Avenir Next LT Pro"/>
        <family val="2"/>
      </rPr>
      <t xml:space="preserve"> zu erfassen, um dann eine Auskunft über die Auswirkungen der Ausgleichszahlungen für Einnahmeausfälle zu erhalten.
Im Tabellenblatt "</t>
    </r>
    <r>
      <rPr>
        <b/>
        <sz val="9"/>
        <color theme="4"/>
        <rFont val="Avenir Next LT Pro"/>
        <family val="2"/>
      </rPr>
      <t>Pflegebudget</t>
    </r>
    <r>
      <rPr>
        <sz val="9"/>
        <color theme="1"/>
        <rFont val="Avenir Next LT Pro"/>
        <family val="2"/>
      </rPr>
      <t xml:space="preserve">" sind die Eingabefelder </t>
    </r>
    <r>
      <rPr>
        <sz val="9"/>
        <color theme="4"/>
        <rFont val="Avenir Next LT Pro"/>
        <family val="2"/>
      </rPr>
      <t>geplante</t>
    </r>
    <r>
      <rPr>
        <i/>
        <sz val="9"/>
        <color theme="4"/>
        <rFont val="Avenir Next LT Pro"/>
        <family val="2"/>
      </rPr>
      <t xml:space="preserve"> </t>
    </r>
    <r>
      <rPr>
        <b/>
        <sz val="9"/>
        <color theme="4"/>
        <rFont val="Avenir Next LT Pro"/>
        <family val="2"/>
      </rPr>
      <t>Pflegeentgeltpauschale, CMI-Pflege</t>
    </r>
    <r>
      <rPr>
        <sz val="9"/>
        <color theme="1"/>
        <rFont val="Avenir Next LT Pro"/>
        <family val="2"/>
      </rPr>
      <t xml:space="preserve"> und </t>
    </r>
    <r>
      <rPr>
        <b/>
        <sz val="9"/>
        <color theme="4"/>
        <rFont val="Avenir Next LT Pro"/>
        <family val="2"/>
      </rPr>
      <t>Belegungstage</t>
    </r>
    <r>
      <rPr>
        <sz val="9"/>
        <color theme="1"/>
        <rFont val="Avenir Next LT Pro"/>
        <family val="2"/>
      </rPr>
      <t xml:space="preserve"> gesamt krankenhausindividuell einzutragen. Dabei werden die Zeiträume vom 01.01.2020-15.03.2020 ohne Minderbelegung und geplanter Pflegeentgeltpauschale; 16.03.2020-31.03.2020 mit Minderbelegung und geplanter Pflegeentgeltpauschale sowie 01.04.2020-31.12.2020 mit Minderbelegung und Differenzierung der geplanten und tatsächlichen Pflegeentgeltpauschale kalkuliert. Die Auswirkungen der Minderbelegung in den jeweiligen Zeiträumen lassen sich aus der Tabelle ablesen.
</t>
    </r>
    <r>
      <rPr>
        <b/>
        <sz val="9"/>
        <color theme="4"/>
        <rFont val="Avenir Next LT Pro"/>
        <family val="2"/>
      </rPr>
      <t xml:space="preserve">
</t>
    </r>
    <r>
      <rPr>
        <sz val="9"/>
        <rFont val="Avenir Next LT Pro"/>
        <family val="2"/>
      </rPr>
      <t xml:space="preserve">Eine </t>
    </r>
    <r>
      <rPr>
        <b/>
        <sz val="9"/>
        <color theme="4"/>
        <rFont val="Avenir Next LT Pro"/>
        <family val="2"/>
      </rPr>
      <t>Übersicht über die entstandene Finanzlücke</t>
    </r>
    <r>
      <rPr>
        <sz val="9"/>
        <color theme="1"/>
        <rFont val="Avenir Next LT Pro"/>
        <family val="2"/>
      </rPr>
      <t xml:space="preserve"> in </t>
    </r>
    <r>
      <rPr>
        <b/>
        <sz val="9"/>
        <color theme="4"/>
        <rFont val="Avenir Next LT Pro"/>
        <family val="2"/>
      </rPr>
      <t>zeitraumbezogener</t>
    </r>
    <r>
      <rPr>
        <sz val="9"/>
        <color theme="1"/>
        <rFont val="Avenir Next LT Pro"/>
        <family val="2"/>
      </rPr>
      <t xml:space="preserve"> </t>
    </r>
    <r>
      <rPr>
        <b/>
        <sz val="9"/>
        <color theme="4"/>
        <rFont val="Avenir Next LT Pro"/>
        <family val="2"/>
      </rPr>
      <t>Form</t>
    </r>
    <r>
      <rPr>
        <sz val="9"/>
        <color theme="1"/>
        <rFont val="Avenir Next LT Pro"/>
        <family val="2"/>
      </rPr>
      <t xml:space="preserve"> und für das </t>
    </r>
    <r>
      <rPr>
        <b/>
        <sz val="9"/>
        <color theme="4"/>
        <rFont val="Avenir Next LT Pro"/>
        <family val="2"/>
      </rPr>
      <t>Gesamtjahr</t>
    </r>
    <r>
      <rPr>
        <sz val="9"/>
        <color theme="1"/>
        <rFont val="Avenir Next LT Pro"/>
        <family val="2"/>
      </rPr>
      <t xml:space="preserve"> erfolgt im Tabellenblatt</t>
    </r>
    <r>
      <rPr>
        <b/>
        <sz val="9"/>
        <color theme="4"/>
        <rFont val="Avenir Next LT Pro"/>
        <family val="2"/>
      </rPr>
      <t xml:space="preserve"> "Impact Tool"</t>
    </r>
    <r>
      <rPr>
        <sz val="9"/>
        <color theme="1"/>
        <rFont val="Avenir Next LT Pro"/>
        <family val="2"/>
      </rPr>
      <t xml:space="preserve">. Im zeitraumbezogenen Abschnitt lässt sich die voraussichtlich entstandene Finanzlücke für </t>
    </r>
    <r>
      <rPr>
        <b/>
        <sz val="9"/>
        <color theme="4"/>
        <rFont val="Avenir Next LT Pro"/>
        <family val="2"/>
      </rPr>
      <t>bestimmte Zeiträume individuell</t>
    </r>
    <r>
      <rPr>
        <sz val="9"/>
        <color theme="1"/>
        <rFont val="Avenir Next LT Pro"/>
        <family val="2"/>
      </rPr>
      <t xml:space="preserve"> auswählen. </t>
    </r>
  </si>
  <si>
    <r>
      <t>Jahresdurchschnitt</t>
    </r>
    <r>
      <rPr>
        <b/>
        <sz val="9"/>
        <color theme="1"/>
        <rFont val="Avenir Next LT Pro"/>
        <family val="2"/>
      </rPr>
      <t xml:space="preserve"> voll-</t>
    </r>
    <r>
      <rPr>
        <sz val="9"/>
        <color theme="1"/>
        <rFont val="Avenir Next LT Pro"/>
        <family val="2"/>
      </rPr>
      <t xml:space="preserve"> und/oder </t>
    </r>
    <r>
      <rPr>
        <b/>
        <sz val="9"/>
        <color theme="1"/>
        <rFont val="Avenir Next LT Pro"/>
        <family val="2"/>
      </rPr>
      <t>teilstationär</t>
    </r>
    <r>
      <rPr>
        <sz val="9"/>
        <color theme="1"/>
        <rFont val="Avenir Next LT Pro"/>
        <family val="2"/>
      </rPr>
      <t xml:space="preserve"> behandelten Patienten 2019 pro Tag (Referenzwert)</t>
    </r>
  </si>
  <si>
    <r>
      <t>Geplante</t>
    </r>
    <r>
      <rPr>
        <b/>
        <sz val="9"/>
        <color theme="1"/>
        <rFont val="Avenir Next LT Pro"/>
        <family val="2"/>
      </rPr>
      <t xml:space="preserve"> voll-</t>
    </r>
    <r>
      <rPr>
        <sz val="9"/>
        <color theme="1"/>
        <rFont val="Avenir Next LT Pro"/>
        <family val="2"/>
      </rPr>
      <t xml:space="preserve"> und/oder </t>
    </r>
    <r>
      <rPr>
        <b/>
        <sz val="9"/>
        <color theme="1"/>
        <rFont val="Avenir Next LT Pro"/>
        <family val="2"/>
      </rPr>
      <t>teilstationäre</t>
    </r>
    <r>
      <rPr>
        <sz val="9"/>
        <color theme="1"/>
        <rFont val="Avenir Next LT Pro"/>
        <family val="2"/>
      </rPr>
      <t xml:space="preserve"> Patienten 2020 gemäß Wirtschaftsplan</t>
    </r>
  </si>
  <si>
    <r>
      <t xml:space="preserve">Jahresdurchschnitt </t>
    </r>
    <r>
      <rPr>
        <b/>
        <sz val="9"/>
        <color theme="1"/>
        <rFont val="Avenir Next LT Pro"/>
        <family val="2"/>
      </rPr>
      <t>tagesklinische</t>
    </r>
    <r>
      <rPr>
        <sz val="9"/>
        <color theme="1"/>
        <rFont val="Avenir Next LT Pro"/>
        <family val="2"/>
      </rPr>
      <t xml:space="preserve"> Patienten 2019 pro Tag (Referenzwert)</t>
    </r>
  </si>
  <si>
    <r>
      <t>Geplante</t>
    </r>
    <r>
      <rPr>
        <b/>
        <sz val="9"/>
        <color theme="1"/>
        <rFont val="Avenir Next LT Pro"/>
        <family val="2"/>
      </rPr>
      <t xml:space="preserve"> tagesklinische</t>
    </r>
    <r>
      <rPr>
        <sz val="9"/>
        <color theme="1"/>
        <rFont val="Avenir Next LT Pro"/>
        <family val="2"/>
      </rPr>
      <t xml:space="preserve"> Patienten 2020 gemäß Wirtschaftsplan</t>
    </r>
  </si>
  <si>
    <r>
      <t xml:space="preserve">Jahresdurchschnitt </t>
    </r>
    <r>
      <rPr>
        <b/>
        <sz val="9"/>
        <color theme="1"/>
        <rFont val="Avenir Next LT Pro"/>
        <family val="2"/>
      </rPr>
      <t>Reha-Patienten</t>
    </r>
    <r>
      <rPr>
        <sz val="9"/>
        <color theme="1"/>
        <rFont val="Avenir Next LT Pro"/>
        <family val="2"/>
      </rPr>
      <t xml:space="preserve"> 2019 pro Tag (Referenzwert)</t>
    </r>
  </si>
  <si>
    <r>
      <t>Geplante</t>
    </r>
    <r>
      <rPr>
        <b/>
        <sz val="9"/>
        <color theme="1"/>
        <rFont val="Avenir Next LT Pro"/>
        <family val="2"/>
      </rPr>
      <t xml:space="preserve"> Reha-Patienten</t>
    </r>
    <r>
      <rPr>
        <sz val="9"/>
        <color theme="1"/>
        <rFont val="Avenir Next LT Pro"/>
        <family val="2"/>
      </rPr>
      <t xml:space="preserve"> 2020 gemäß Wirtschaftsplan</t>
    </r>
  </si>
  <si>
    <t>Anzahl stationärer und teilstationärer Patienten in 2020</t>
  </si>
  <si>
    <t xml:space="preserve">COVID-Pauschale pro Kalendertag  </t>
  </si>
  <si>
    <t xml:space="preserve">Nach COVID-19-Pauschale: Noch übrige Finanzierungslücke bei stationären DRG-Erlösen </t>
  </si>
  <si>
    <t>Nach COVID-19-Pauschale: Noch übrige Finanzierungslücke bei stationären, ambulanten, tagesklinischen und rehabilitativen Erlösen &amp; WL</t>
  </si>
  <si>
    <t>Eingabefeld für das Ergebnis aus dem VICONDO Sachkostenrechner</t>
  </si>
  <si>
    <t>Finanzierungslücke 
Gesamtjahr</t>
  </si>
  <si>
    <t>Zeitraum 16.03.2020 - 30.09.2020</t>
  </si>
  <si>
    <t>Finanzierungslücke ausgewählter Zeitraum</t>
  </si>
  <si>
    <t>Finanzierungslücke Gesamtjahr 2020</t>
  </si>
  <si>
    <t>Geplante Erlöse ambulante Leistungen 2020</t>
  </si>
  <si>
    <t>Geplante Erlöse tagesklinische Strukturen 2020</t>
  </si>
  <si>
    <t>Geplante Erlöse rehabilitative Strukturen 2020</t>
  </si>
  <si>
    <t>Geplante Erlöse aus Wahlleistungen 2020</t>
  </si>
  <si>
    <t>Geplante stationäre Erlöse 2020</t>
  </si>
  <si>
    <t>Eingabefelder zur täglichen Dokumentation der Patientenzahlen</t>
  </si>
  <si>
    <t>Prozentuale Minderbelegung</t>
  </si>
  <si>
    <t>Pflegetage vom 16.03.2020-31.03.2020</t>
  </si>
  <si>
    <t xml:space="preserve">Pflegetage vom 01.04.2020-31.12.2020 </t>
  </si>
  <si>
    <t>Gesamtes Pflegebudget Gesamtjahr 2020</t>
  </si>
  <si>
    <r>
      <t xml:space="preserve">Finanzierungslücke zwischen </t>
    </r>
    <r>
      <rPr>
        <b/>
        <sz val="9"/>
        <color theme="1"/>
        <rFont val="Avenir Next LT Pro"/>
        <family val="2"/>
      </rPr>
      <t>geplanten Pflegeerlösen pro Kalendertag</t>
    </r>
    <r>
      <rPr>
        <sz val="9"/>
        <color theme="1"/>
        <rFont val="Avenir Next LT Pro"/>
        <family val="2"/>
      </rPr>
      <t xml:space="preserve"> ohne Minderbelegung und </t>
    </r>
    <r>
      <rPr>
        <b/>
        <sz val="9"/>
        <color theme="1"/>
        <rFont val="Avenir Next LT Pro"/>
        <family val="2"/>
      </rPr>
      <t>tatsächlichen Pflegeerlösen</t>
    </r>
    <r>
      <rPr>
        <sz val="9"/>
        <color theme="1"/>
        <rFont val="Avenir Next LT Pro"/>
        <family val="2"/>
      </rPr>
      <t xml:space="preserve"> </t>
    </r>
    <r>
      <rPr>
        <b/>
        <sz val="9"/>
        <color theme="1"/>
        <rFont val="Avenir Next LT Pro"/>
        <family val="2"/>
      </rPr>
      <t>pro Kalendertag</t>
    </r>
    <r>
      <rPr>
        <sz val="9"/>
        <color theme="1"/>
        <rFont val="Avenir Next LT Pro"/>
        <family val="2"/>
      </rPr>
      <t xml:space="preserve"> bei </t>
    </r>
    <r>
      <rPr>
        <b/>
        <sz val="9"/>
        <color theme="1"/>
        <rFont val="Avenir Next LT Pro"/>
        <family val="2"/>
      </rPr>
      <t xml:space="preserve">COVID-19 Pflegeentgeltpauschale mit Minderbelegung </t>
    </r>
    <r>
      <rPr>
        <sz val="9"/>
        <color theme="1"/>
        <rFont val="Avenir Next LT Pro"/>
        <family val="2"/>
      </rPr>
      <t xml:space="preserve"> ab 01.04.2020</t>
    </r>
  </si>
  <si>
    <r>
      <t xml:space="preserve">Finanzierungslücke zwischen </t>
    </r>
    <r>
      <rPr>
        <b/>
        <sz val="9"/>
        <color theme="1"/>
        <rFont val="Avenir Next LT Pro"/>
        <family val="2"/>
      </rPr>
      <t xml:space="preserve">geplanten Pflegeerlösen ohne Minderbelegung </t>
    </r>
    <r>
      <rPr>
        <sz val="9"/>
        <color theme="1"/>
        <rFont val="Avenir Next LT Pro"/>
        <family val="2"/>
      </rPr>
      <t xml:space="preserve">und </t>
    </r>
    <r>
      <rPr>
        <b/>
        <sz val="9"/>
        <color theme="1"/>
        <rFont val="Avenir Next LT Pro"/>
        <family val="2"/>
      </rPr>
      <t>tatsächlichen Pflegeerlösen</t>
    </r>
    <r>
      <rPr>
        <sz val="9"/>
        <color theme="1"/>
        <rFont val="Avenir Next LT Pro"/>
        <family val="2"/>
      </rPr>
      <t xml:space="preserve"> bei COVID-19 Pflegeentgeltpauschale </t>
    </r>
    <r>
      <rPr>
        <b/>
        <sz val="9"/>
        <color theme="1"/>
        <rFont val="Avenir Next LT Pro"/>
        <family val="2"/>
      </rPr>
      <t>mit Minderbelegung Gesamtjahr 2020</t>
    </r>
  </si>
  <si>
    <t>Die Finanzlücke entsteht durch die Minderbelegung im Zeitraum vom 16.03.2020-31.03.2020</t>
  </si>
  <si>
    <t xml:space="preserve">
VICONDO Healthcare GmbH
Katharinenstraße 17
10711 Berlin
Stand 08.04.2020</t>
  </si>
  <si>
    <t>Sondereffekte bei individueller Pflegeentgeltpauschale werden nicht berücksichtigt</t>
  </si>
  <si>
    <t>Wochen-tag</t>
  </si>
  <si>
    <t>CAVE: In Spalte C, E, G sind die jeweiligen Patientenzahlen tagesgenau einzutragen. Der restliche Zeitraum basiert auf den eingetragenen Planzahlen des Krankenhauses.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</si>
</sst>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44" formatCode="_-* #,##0.00\ &quot;€&quot;_-;\-* #,##0.00\ &quot;€&quot;_-;_-* &quot;-&quot;??\ &quot;€&quot;_-;_-@_-"/>
    <numFmt numFmtId="43" formatCode="_-* #,##0.00_-;\-* #,##0.00_-;_-* &quot;-&quot;??_-;_-@_-"/>
    <numFmt numFmtId="164" formatCode="_-* #,##0.00\ [$€]_-;\-* #,##0.00\ [$€]_-;_-* &quot;-&quot;??\ [$€]_-;_-@_-"/>
    <numFmt numFmtId="165" formatCode="#,##0.00\ &quot;€&quot;"/>
    <numFmt numFmtId="166" formatCode="#,##0.0"/>
    <numFmt numFmtId="167" formatCode="#,##0.0\ &quot;€&quot;"/>
    <numFmt numFmtId="168" formatCode="_-* #,##0.0\ &quot;€&quot;_-;\-* #,##0.0\ &quot;€&quot;_-;_-* &quot;-&quot;??\ &quot;€&quot;_-;_-@_-"/>
    <numFmt numFmtId="169" formatCode="_-* #,##0.0\ &quot;€&quot;_-;\-* #,##0.0\ &quot;€&quot;_-;_-* &quot;-&quot;?\ &quot;€&quot;_-;_-@_-"/>
    <numFmt numFmtId="170" formatCode="_-* #,##0.0000_-;\-* #,##0.0000_-;_-* &quot;-&quot;??_-;_-@_-"/>
    <numFmt numFmtId="171" formatCode="_-* #,##0_-;\-* #,##0_-;_-* &quot;-&quot;??_-;_-@_-"/>
    <numFmt numFmtId="172" formatCode="???,???"/>
    <numFmt numFmtId="173" formatCode="_-* #,##0.000_-;\-* #,##0.000_-;_-* &quot;-&quot;??_-;_-@_-"/>
  </numFmts>
  <fonts count="3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2"/>
      <color theme="4"/>
      <name val="Avenir Next LT Pro"/>
      <family val="2"/>
    </font>
    <font>
      <sz val="11"/>
      <color theme="1"/>
      <name val="Avenir Next LT Pro"/>
      <family val="2"/>
    </font>
    <font>
      <b/>
      <sz val="11"/>
      <color theme="0"/>
      <name val="Avenir Next LT Pro"/>
      <family val="2"/>
    </font>
    <font>
      <b/>
      <sz val="11"/>
      <color theme="4"/>
      <name val="Avenir Next LT Pro"/>
      <family val="2"/>
    </font>
    <font>
      <i/>
      <sz val="11"/>
      <color theme="1"/>
      <name val="Avenir Next LT Pro"/>
      <family val="2"/>
    </font>
    <font>
      <b/>
      <sz val="10"/>
      <color theme="1"/>
      <name val="Avenir Next LT Pro"/>
      <family val="2"/>
    </font>
    <font>
      <b/>
      <sz val="11"/>
      <color theme="9"/>
      <name val="Avenir Next LT Pro"/>
      <family val="2"/>
    </font>
    <font>
      <b/>
      <sz val="9"/>
      <color theme="1"/>
      <name val="Avenir Next LT Pro"/>
      <family val="2"/>
    </font>
    <font>
      <sz val="9"/>
      <color theme="1"/>
      <name val="Avenir Next LT Pro"/>
      <family val="2"/>
    </font>
    <font>
      <b/>
      <sz val="10"/>
      <color theme="4"/>
      <name val="Avenir Next LT Pro"/>
      <family val="2"/>
    </font>
    <font>
      <b/>
      <sz val="9"/>
      <color theme="4"/>
      <name val="Avenir Next LT Pro"/>
      <family val="2"/>
    </font>
    <font>
      <i/>
      <sz val="9"/>
      <color theme="1"/>
      <name val="Avenir Next LT Pro"/>
      <family val="2"/>
    </font>
    <font>
      <b/>
      <sz val="9"/>
      <color theme="0"/>
      <name val="Avenir Next LT Pro"/>
      <family val="2"/>
    </font>
    <font>
      <i/>
      <sz val="9"/>
      <color rgb="FFFF0000"/>
      <name val="Avenir Next LT Pro"/>
      <family val="2"/>
    </font>
    <font>
      <b/>
      <sz val="10"/>
      <color theme="0"/>
      <name val="Avenir Next LT Pro"/>
      <family val="2"/>
    </font>
    <font>
      <b/>
      <sz val="9"/>
      <name val="Avenir Next LT Pro"/>
      <family val="2"/>
    </font>
    <font>
      <sz val="10"/>
      <color theme="1"/>
      <name val="Avenir Next LT Pro"/>
      <family val="2"/>
    </font>
    <font>
      <sz val="10"/>
      <color theme="0"/>
      <name val="Avenir Next LT Pro"/>
      <family val="2"/>
    </font>
    <font>
      <sz val="9"/>
      <name val="Avenir Next LT Pro"/>
      <family val="2"/>
    </font>
    <font>
      <b/>
      <i/>
      <sz val="10"/>
      <color theme="1"/>
      <name val="Avenir Next LT Pro"/>
      <family val="2"/>
    </font>
    <font>
      <i/>
      <sz val="10"/>
      <color theme="1"/>
      <name val="Avenir Next LT Pro"/>
      <family val="2"/>
    </font>
    <font>
      <sz val="11"/>
      <color theme="5"/>
      <name val="Avenir Next LT Pro"/>
      <family val="2"/>
    </font>
    <font>
      <b/>
      <u/>
      <sz val="9"/>
      <color theme="1"/>
      <name val="Avenir Next LT Pro"/>
      <family val="2"/>
    </font>
    <font>
      <b/>
      <sz val="11"/>
      <color theme="1"/>
      <name val="Avenir Next LT Pro"/>
      <family val="2"/>
    </font>
    <font>
      <sz val="9"/>
      <color theme="4"/>
      <name val="Avenir Next LT Pro"/>
      <family val="2"/>
    </font>
    <font>
      <i/>
      <sz val="9"/>
      <color theme="4"/>
      <name val="Avenir Next LT Pro"/>
      <family val="2"/>
    </font>
    <font>
      <b/>
      <sz val="11"/>
      <color rgb="FFFF0000"/>
      <name val="Avenir Next LT Pro"/>
      <family val="2"/>
    </font>
    <font>
      <sz val="11"/>
      <color theme="0"/>
      <name val="Avenir Next LT Pro"/>
      <family val="2"/>
    </font>
    <font>
      <b/>
      <sz val="9"/>
      <color rgb="FFFF0000"/>
      <name val="Avenir Next LT Pro"/>
      <family val="2"/>
    </font>
    <font>
      <b/>
      <sz val="11"/>
      <color rgb="FFC00000"/>
      <name val="Avenir Next LT Pro"/>
      <family val="2"/>
    </font>
    <font>
      <sz val="9"/>
      <color theme="0"/>
      <name val="Avenir Next LT Pro"/>
      <family val="2"/>
    </font>
    <font>
      <b/>
      <sz val="14"/>
      <color theme="4"/>
      <name val="Avenir Next LT Pro"/>
      <family val="2"/>
    </font>
    <font>
      <i/>
      <sz val="9"/>
      <name val="Avenir Next LT Pro"/>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bgColor indexed="64"/>
      </patternFill>
    </fill>
    <fill>
      <patternFill patternType="solid">
        <fgColor theme="5"/>
        <bgColor indexed="64"/>
      </patternFill>
    </fill>
    <fill>
      <patternFill patternType="solid">
        <fgColor theme="6" tint="0.79998168889431442"/>
        <bgColor indexed="64"/>
      </patternFill>
    </fill>
    <fill>
      <patternFill patternType="solid">
        <fgColor theme="4"/>
        <bgColor indexed="64"/>
      </patternFill>
    </fill>
    <fill>
      <patternFill patternType="solid">
        <fgColor theme="7"/>
        <bgColor indexed="64"/>
      </patternFill>
    </fill>
    <fill>
      <patternFill patternType="solid">
        <fgColor theme="4" tint="0.89999084444715716"/>
        <bgColor indexed="64"/>
      </patternFill>
    </fill>
    <fill>
      <patternFill patternType="solid">
        <fgColor theme="9" tint="0.8999908444471571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16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44" fontId="0" fillId="0" borderId="0" xfId="1" applyFont="1"/>
    <xf numFmtId="0" fontId="3" fillId="4" borderId="0" xfId="0" applyFont="1" applyFill="1"/>
    <xf numFmtId="6" fontId="11" fillId="0" borderId="1" xfId="0" applyNumberFormat="1" applyFont="1" applyBorder="1" applyAlignment="1">
      <alignment vertical="center"/>
    </xf>
    <xf numFmtId="0" fontId="12" fillId="6" borderId="1" xfId="0" applyFont="1" applyFill="1" applyBorder="1" applyAlignment="1">
      <alignment vertical="center" wrapText="1"/>
    </xf>
    <xf numFmtId="0" fontId="11" fillId="2" borderId="0" xfId="0" applyFont="1" applyFill="1" applyAlignment="1">
      <alignment horizontal="center" vertical="center"/>
    </xf>
    <xf numFmtId="0" fontId="9" fillId="5" borderId="0" xfId="0" applyFont="1" applyFill="1" applyAlignment="1">
      <alignment vertical="center"/>
    </xf>
    <xf numFmtId="165" fontId="12" fillId="3" borderId="1" xfId="0" applyNumberFormat="1" applyFont="1" applyFill="1" applyBorder="1" applyAlignment="1">
      <alignment vertical="center"/>
    </xf>
    <xf numFmtId="0" fontId="0" fillId="3" borderId="0" xfId="0" applyFill="1" applyAlignment="1">
      <alignment vertical="center"/>
    </xf>
    <xf numFmtId="0" fontId="14" fillId="3" borderId="0" xfId="0" applyFont="1" applyFill="1" applyAlignment="1">
      <alignment vertical="center"/>
    </xf>
    <xf numFmtId="0" fontId="12" fillId="3" borderId="0" xfId="0" applyFont="1" applyFill="1" applyAlignment="1">
      <alignment vertical="center"/>
    </xf>
    <xf numFmtId="0" fontId="12" fillId="5" borderId="0" xfId="0" applyFont="1" applyFill="1" applyAlignment="1">
      <alignment vertical="center"/>
    </xf>
    <xf numFmtId="0" fontId="12" fillId="3" borderId="1" xfId="0" applyFont="1" applyFill="1" applyBorder="1" applyAlignment="1">
      <alignment horizontal="left" vertical="center"/>
    </xf>
    <xf numFmtId="0" fontId="12" fillId="0" borderId="6" xfId="0" applyFont="1" applyBorder="1" applyAlignment="1">
      <alignment horizontal="left" vertical="center" wrapText="1"/>
    </xf>
    <xf numFmtId="0" fontId="12" fillId="3" borderId="5" xfId="0" applyFont="1" applyFill="1" applyBorder="1" applyAlignment="1">
      <alignment vertical="center"/>
    </xf>
    <xf numFmtId="0" fontId="12" fillId="0" borderId="1" xfId="0" applyFont="1" applyBorder="1" applyAlignment="1">
      <alignment vertical="center"/>
    </xf>
    <xf numFmtId="14" fontId="12" fillId="5" borderId="1" xfId="0" applyNumberFormat="1" applyFont="1" applyFill="1" applyBorder="1"/>
    <xf numFmtId="0" fontId="4" fillId="3" borderId="0" xfId="0" applyFont="1" applyFill="1" applyAlignment="1">
      <alignment vertical="center"/>
    </xf>
    <xf numFmtId="0" fontId="11" fillId="0" borderId="1" xfId="0" applyFont="1" applyBorder="1" applyAlignment="1">
      <alignment vertical="center"/>
    </xf>
    <xf numFmtId="0" fontId="12" fillId="0" borderId="1" xfId="0" applyFont="1" applyBorder="1" applyAlignment="1">
      <alignment horizontal="left" vertical="center" wrapText="1"/>
    </xf>
    <xf numFmtId="44" fontId="12" fillId="2" borderId="1" xfId="1" applyFont="1" applyFill="1" applyBorder="1" applyAlignment="1">
      <alignment vertical="center"/>
    </xf>
    <xf numFmtId="170" fontId="12" fillId="3" borderId="1" xfId="4" applyNumberFormat="1" applyFont="1" applyFill="1" applyBorder="1" applyAlignment="1">
      <alignment vertical="center"/>
    </xf>
    <xf numFmtId="0" fontId="11" fillId="3" borderId="0" xfId="0" applyFont="1" applyFill="1" applyAlignment="1">
      <alignment horizontal="right" vertical="center"/>
    </xf>
    <xf numFmtId="1" fontId="12" fillId="3" borderId="1" xfId="4" applyNumberFormat="1" applyFont="1" applyFill="1" applyBorder="1" applyAlignment="1">
      <alignment vertical="center"/>
    </xf>
    <xf numFmtId="10" fontId="0" fillId="3" borderId="0" xfId="3" applyNumberFormat="1" applyFont="1" applyFill="1" applyAlignment="1">
      <alignment vertical="center"/>
    </xf>
    <xf numFmtId="1" fontId="12" fillId="3" borderId="0" xfId="0" applyNumberFormat="1" applyFont="1" applyFill="1" applyAlignment="1">
      <alignment vertical="center"/>
    </xf>
    <xf numFmtId="3" fontId="12" fillId="3" borderId="1" xfId="0" applyNumberFormat="1" applyFont="1" applyFill="1" applyBorder="1" applyAlignment="1">
      <alignment vertical="center"/>
    </xf>
    <xf numFmtId="14" fontId="12" fillId="3" borderId="0" xfId="0" applyNumberFormat="1" applyFont="1" applyFill="1" applyAlignment="1">
      <alignment vertical="center"/>
    </xf>
    <xf numFmtId="14" fontId="0" fillId="3" borderId="0" xfId="0" applyNumberFormat="1" applyFill="1" applyAlignment="1">
      <alignment vertical="center"/>
    </xf>
    <xf numFmtId="9" fontId="12" fillId="3" borderId="1" xfId="0" applyNumberFormat="1" applyFont="1" applyFill="1" applyBorder="1" applyAlignment="1">
      <alignment vertical="center"/>
    </xf>
    <xf numFmtId="0" fontId="12" fillId="0" borderId="6" xfId="0" applyFont="1" applyBorder="1" applyAlignment="1">
      <alignment vertical="center"/>
    </xf>
    <xf numFmtId="165" fontId="12" fillId="0" borderId="3" xfId="1" applyNumberFormat="1" applyFont="1" applyBorder="1" applyAlignment="1">
      <alignment horizontal="center" vertical="center"/>
    </xf>
    <xf numFmtId="6" fontId="12" fillId="0" borderId="1" xfId="0" applyNumberFormat="1" applyFont="1" applyBorder="1" applyAlignment="1">
      <alignment horizontal="center" vertical="center"/>
    </xf>
    <xf numFmtId="165" fontId="11" fillId="0" borderId="3" xfId="1" applyNumberFormat="1" applyFont="1" applyBorder="1" applyAlignment="1">
      <alignment horizontal="center" vertical="center"/>
    </xf>
    <xf numFmtId="165" fontId="0" fillId="3" borderId="0" xfId="0" applyNumberFormat="1" applyFill="1" applyAlignment="1">
      <alignment vertical="center"/>
    </xf>
    <xf numFmtId="165" fontId="12" fillId="0" borderId="1" xfId="1" applyNumberFormat="1" applyFont="1" applyBorder="1" applyAlignment="1">
      <alignment horizontal="center" vertical="center"/>
    </xf>
    <xf numFmtId="1" fontId="12" fillId="0" borderId="1" xfId="4" applyNumberFormat="1" applyFont="1" applyBorder="1" applyAlignment="1">
      <alignment horizontal="center" vertical="center"/>
    </xf>
    <xf numFmtId="165" fontId="11" fillId="0" borderId="1" xfId="1" applyNumberFormat="1" applyFont="1" applyBorder="1" applyAlignment="1">
      <alignment horizontal="center" vertical="center"/>
    </xf>
    <xf numFmtId="0" fontId="4" fillId="3" borderId="0" xfId="0" applyFont="1" applyFill="1" applyProtection="1">
      <protection hidden="1"/>
    </xf>
    <xf numFmtId="0" fontId="5" fillId="3" borderId="0" xfId="0" applyFont="1" applyFill="1" applyProtection="1">
      <protection hidden="1"/>
    </xf>
    <xf numFmtId="0" fontId="5" fillId="3" borderId="0" xfId="0" applyFont="1" applyFill="1" applyAlignment="1" applyProtection="1">
      <alignment horizontal="left" vertical="top" wrapText="1"/>
      <protection hidden="1"/>
    </xf>
    <xf numFmtId="0" fontId="7" fillId="3" borderId="0" xfId="0" applyFont="1" applyFill="1" applyProtection="1">
      <protection hidden="1"/>
    </xf>
    <xf numFmtId="0" fontId="0" fillId="3" borderId="0" xfId="0" applyFill="1" applyProtection="1">
      <protection hidden="1"/>
    </xf>
    <xf numFmtId="0" fontId="9" fillId="5" borderId="1" xfId="0" applyFont="1" applyFill="1" applyBorder="1" applyProtection="1">
      <protection hidden="1"/>
    </xf>
    <xf numFmtId="0" fontId="5" fillId="3" borderId="0" xfId="0" applyFont="1" applyFill="1" applyBorder="1" applyProtection="1">
      <protection hidden="1"/>
    </xf>
    <xf numFmtId="0" fontId="12" fillId="12" borderId="1" xfId="0" applyFont="1" applyFill="1" applyBorder="1" applyProtection="1">
      <protection hidden="1"/>
    </xf>
    <xf numFmtId="0" fontId="12" fillId="3" borderId="1" xfId="0" applyFont="1" applyFill="1" applyBorder="1" applyProtection="1">
      <protection hidden="1"/>
    </xf>
    <xf numFmtId="0" fontId="12" fillId="5" borderId="1" xfId="0" applyFont="1" applyFill="1" applyBorder="1" applyProtection="1">
      <protection hidden="1"/>
    </xf>
    <xf numFmtId="0" fontId="27" fillId="3" borderId="0" xfId="0" applyFont="1" applyFill="1" applyProtection="1">
      <protection hidden="1"/>
    </xf>
    <xf numFmtId="14" fontId="5" fillId="3" borderId="0" xfId="0" applyNumberFormat="1" applyFont="1" applyFill="1" applyProtection="1">
      <protection hidden="1"/>
    </xf>
    <xf numFmtId="0" fontId="35" fillId="3" borderId="0" xfId="0" applyFont="1" applyFill="1" applyProtection="1">
      <protection hidden="1"/>
    </xf>
    <xf numFmtId="14" fontId="34" fillId="3" borderId="0" xfId="0" applyNumberFormat="1" applyFont="1" applyFill="1" applyProtection="1">
      <protection hidden="1"/>
    </xf>
    <xf numFmtId="0" fontId="7" fillId="3" borderId="0" xfId="0" applyFont="1" applyFill="1" applyBorder="1" applyProtection="1">
      <protection hidden="1"/>
    </xf>
    <xf numFmtId="165" fontId="5" fillId="3" borderId="0" xfId="0" applyNumberFormat="1" applyFont="1" applyFill="1" applyBorder="1" applyProtection="1">
      <protection hidden="1"/>
    </xf>
    <xf numFmtId="0" fontId="11" fillId="7" borderId="1" xfId="0" applyFont="1" applyFill="1" applyBorder="1" applyAlignment="1" applyProtection="1">
      <alignment horizontal="center" vertical="center"/>
      <protection hidden="1"/>
    </xf>
    <xf numFmtId="0" fontId="4" fillId="3" borderId="14" xfId="0" applyFont="1" applyFill="1" applyBorder="1" applyAlignment="1" applyProtection="1">
      <alignment vertical="center" textRotation="90" wrapText="1"/>
      <protection hidden="1"/>
    </xf>
    <xf numFmtId="0" fontId="20" fillId="3" borderId="0" xfId="0" applyFont="1" applyFill="1" applyProtection="1">
      <protection hidden="1"/>
    </xf>
    <xf numFmtId="14" fontId="21" fillId="3" borderId="0" xfId="0" applyNumberFormat="1" applyFont="1" applyFill="1" applyProtection="1">
      <protection hidden="1"/>
    </xf>
    <xf numFmtId="0" fontId="23" fillId="3" borderId="0" xfId="0" applyFont="1" applyFill="1" applyBorder="1" applyAlignment="1" applyProtection="1">
      <alignment horizontal="right"/>
      <protection hidden="1"/>
    </xf>
    <xf numFmtId="0" fontId="5" fillId="3" borderId="0" xfId="0" applyFont="1" applyFill="1" applyAlignment="1" applyProtection="1">
      <alignment horizontal="center"/>
      <protection hidden="1"/>
    </xf>
    <xf numFmtId="0" fontId="27" fillId="4" borderId="1" xfId="0" applyFont="1" applyFill="1" applyBorder="1" applyProtection="1">
      <protection hidden="1"/>
    </xf>
    <xf numFmtId="165" fontId="27" fillId="4" borderId="1" xfId="0" applyNumberFormat="1" applyFont="1" applyFill="1" applyBorder="1" applyProtection="1">
      <protection hidden="1"/>
    </xf>
    <xf numFmtId="0" fontId="9" fillId="5" borderId="4" xfId="0" applyFont="1" applyFill="1" applyBorder="1" applyAlignment="1" applyProtection="1">
      <alignment vertical="center"/>
      <protection hidden="1"/>
    </xf>
    <xf numFmtId="165" fontId="20" fillId="6" borderId="1" xfId="0" applyNumberFormat="1" applyFont="1" applyFill="1" applyBorder="1" applyAlignment="1" applyProtection="1">
      <alignment vertical="center"/>
      <protection hidden="1"/>
    </xf>
    <xf numFmtId="165" fontId="15" fillId="3" borderId="1" xfId="0" applyNumberFormat="1" applyFont="1" applyFill="1" applyBorder="1" applyAlignment="1" applyProtection="1">
      <alignment vertical="center" wrapText="1"/>
      <protection hidden="1"/>
    </xf>
    <xf numFmtId="0" fontId="31" fillId="3" borderId="0" xfId="0" applyFont="1" applyFill="1" applyAlignment="1" applyProtection="1">
      <alignment horizontal="center" vertical="center"/>
      <protection hidden="1"/>
    </xf>
    <xf numFmtId="0" fontId="30" fillId="3" borderId="0" xfId="0" applyFont="1" applyFill="1" applyProtection="1">
      <protection hidden="1"/>
    </xf>
    <xf numFmtId="0" fontId="20" fillId="3" borderId="1" xfId="0" applyFont="1" applyFill="1" applyBorder="1" applyAlignment="1" applyProtection="1">
      <alignment vertical="center" wrapText="1"/>
      <protection hidden="1"/>
    </xf>
    <xf numFmtId="0" fontId="31" fillId="3" borderId="0" xfId="0" applyFont="1" applyFill="1" applyProtection="1">
      <protection hidden="1"/>
    </xf>
    <xf numFmtId="0" fontId="24" fillId="3" borderId="1" xfId="0" applyFont="1" applyFill="1" applyBorder="1" applyAlignment="1" applyProtection="1">
      <alignment vertical="center"/>
      <protection hidden="1"/>
    </xf>
    <xf numFmtId="0" fontId="5" fillId="3" borderId="5" xfId="0" applyFont="1" applyFill="1" applyBorder="1" applyProtection="1">
      <protection hidden="1"/>
    </xf>
    <xf numFmtId="0" fontId="31" fillId="3" borderId="5" xfId="0" applyFont="1" applyFill="1" applyBorder="1" applyProtection="1">
      <protection hidden="1"/>
    </xf>
    <xf numFmtId="0" fontId="15" fillId="3" borderId="1" xfId="0" applyFont="1" applyFill="1" applyBorder="1" applyAlignment="1" applyProtection="1">
      <alignment vertical="center"/>
      <protection hidden="1"/>
    </xf>
    <xf numFmtId="0" fontId="27" fillId="3" borderId="1" xfId="0" applyFont="1" applyFill="1" applyBorder="1" applyAlignment="1" applyProtection="1">
      <alignment vertical="center"/>
      <protection hidden="1"/>
    </xf>
    <xf numFmtId="0" fontId="36" fillId="3" borderId="1" xfId="0" applyFont="1" applyFill="1" applyBorder="1" applyAlignment="1" applyProtection="1">
      <alignment vertical="center" wrapText="1"/>
      <protection hidden="1"/>
    </xf>
    <xf numFmtId="0" fontId="27" fillId="5" borderId="1" xfId="0" applyFont="1" applyFill="1" applyBorder="1" applyAlignment="1" applyProtection="1">
      <alignment vertical="center" wrapText="1"/>
      <protection hidden="1"/>
    </xf>
    <xf numFmtId="0" fontId="5" fillId="3" borderId="1" xfId="0" applyFont="1" applyFill="1" applyBorder="1" applyProtection="1">
      <protection hidden="1"/>
    </xf>
    <xf numFmtId="0" fontId="15" fillId="3" borderId="1" xfId="0" applyFont="1" applyFill="1" applyBorder="1" applyAlignment="1" applyProtection="1">
      <alignment vertical="center" wrapText="1"/>
      <protection hidden="1"/>
    </xf>
    <xf numFmtId="14" fontId="9" fillId="7" borderId="1" xfId="0" applyNumberFormat="1" applyFont="1" applyFill="1" applyBorder="1" applyAlignment="1" applyProtection="1">
      <alignment horizontal="center"/>
      <protection locked="0"/>
    </xf>
    <xf numFmtId="14" fontId="9" fillId="7" borderId="4" xfId="0" applyNumberFormat="1" applyFont="1" applyFill="1" applyBorder="1" applyAlignment="1" applyProtection="1">
      <alignment horizontal="center"/>
      <protection locked="0"/>
    </xf>
    <xf numFmtId="0" fontId="20" fillId="7" borderId="1" xfId="0" applyFont="1" applyFill="1" applyBorder="1" applyAlignment="1" applyProtection="1">
      <alignment vertical="center" wrapText="1"/>
      <protection locked="0"/>
    </xf>
    <xf numFmtId="0" fontId="12" fillId="3" borderId="0" xfId="0" applyFont="1" applyFill="1" applyProtection="1">
      <protection hidden="1"/>
    </xf>
    <xf numFmtId="9" fontId="12" fillId="3" borderId="1" xfId="3" applyFont="1" applyFill="1" applyBorder="1" applyProtection="1">
      <protection hidden="1"/>
    </xf>
    <xf numFmtId="165" fontId="12" fillId="0" borderId="1" xfId="1" applyNumberFormat="1" applyFont="1" applyBorder="1" applyAlignment="1" applyProtection="1">
      <alignment horizontal="right" vertical="center"/>
      <protection hidden="1"/>
    </xf>
    <xf numFmtId="165" fontId="12" fillId="0" borderId="1" xfId="0" applyNumberFormat="1" applyFont="1" applyFill="1" applyBorder="1" applyAlignment="1" applyProtection="1">
      <alignment horizontal="right" vertical="center"/>
      <protection hidden="1"/>
    </xf>
    <xf numFmtId="165" fontId="12" fillId="3" borderId="1" xfId="0" applyNumberFormat="1" applyFont="1" applyFill="1" applyBorder="1" applyProtection="1">
      <protection hidden="1"/>
    </xf>
    <xf numFmtId="14" fontId="12" fillId="5" borderId="1" xfId="0" applyNumberFormat="1" applyFont="1" applyFill="1" applyBorder="1" applyAlignment="1" applyProtection="1">
      <alignment horizontal="center"/>
      <protection hidden="1"/>
    </xf>
    <xf numFmtId="168" fontId="11" fillId="0" borderId="1" xfId="1" applyNumberFormat="1" applyFont="1" applyBorder="1" applyAlignment="1" applyProtection="1">
      <alignment vertical="center"/>
      <protection hidden="1"/>
    </xf>
    <xf numFmtId="0" fontId="5" fillId="3" borderId="0" xfId="0" applyFont="1" applyFill="1" applyAlignment="1" applyProtection="1">
      <alignment vertical="center"/>
      <protection hidden="1"/>
    </xf>
    <xf numFmtId="167" fontId="11" fillId="0" borderId="1" xfId="1" applyNumberFormat="1" applyFont="1" applyBorder="1" applyAlignment="1" applyProtection="1">
      <alignment vertical="center"/>
      <protection hidden="1"/>
    </xf>
    <xf numFmtId="44" fontId="5" fillId="3" borderId="0" xfId="0" applyNumberFormat="1" applyFont="1" applyFill="1" applyAlignment="1" applyProtection="1">
      <alignment vertical="center"/>
      <protection hidden="1"/>
    </xf>
    <xf numFmtId="0" fontId="11" fillId="3" borderId="0" xfId="0" applyFont="1" applyFill="1" applyBorder="1" applyAlignment="1" applyProtection="1">
      <alignment horizontal="left" vertical="center"/>
      <protection hidden="1"/>
    </xf>
    <xf numFmtId="168" fontId="11" fillId="3" borderId="0" xfId="1" applyNumberFormat="1" applyFont="1" applyFill="1" applyBorder="1" applyAlignment="1" applyProtection="1">
      <alignment vertical="center"/>
      <protection hidden="1"/>
    </xf>
    <xf numFmtId="0" fontId="11" fillId="3" borderId="0" xfId="0" applyFont="1" applyFill="1" applyBorder="1" applyAlignment="1" applyProtection="1">
      <alignment vertical="center"/>
      <protection hidden="1"/>
    </xf>
    <xf numFmtId="167" fontId="11" fillId="3" borderId="0" xfId="1" applyNumberFormat="1" applyFont="1" applyFill="1" applyBorder="1" applyAlignment="1" applyProtection="1">
      <alignment vertical="center"/>
      <protection hidden="1"/>
    </xf>
    <xf numFmtId="169" fontId="12" fillId="0" borderId="1" xfId="0" applyNumberFormat="1" applyFont="1" applyBorder="1" applyAlignment="1" applyProtection="1">
      <alignment horizontal="right" vertical="center"/>
      <protection hidden="1"/>
    </xf>
    <xf numFmtId="9" fontId="5" fillId="3" borderId="0" xfId="0" applyNumberFormat="1" applyFont="1" applyFill="1" applyAlignment="1" applyProtection="1">
      <alignment vertical="center"/>
      <protection hidden="1"/>
    </xf>
    <xf numFmtId="44" fontId="12" fillId="0" borderId="1" xfId="1" applyFont="1" applyBorder="1" applyAlignment="1" applyProtection="1">
      <alignment horizontal="right" vertical="center"/>
      <protection hidden="1"/>
    </xf>
    <xf numFmtId="0" fontId="5" fillId="3" borderId="0" xfId="0" applyFont="1" applyFill="1" applyBorder="1" applyAlignment="1" applyProtection="1">
      <alignment vertical="center"/>
      <protection hidden="1"/>
    </xf>
    <xf numFmtId="0" fontId="25" fillId="3" borderId="0" xfId="0" applyFont="1" applyFill="1" applyBorder="1" applyAlignment="1" applyProtection="1">
      <alignment vertical="center"/>
      <protection hidden="1"/>
    </xf>
    <xf numFmtId="0" fontId="11" fillId="3" borderId="6" xfId="0" applyFont="1" applyFill="1" applyBorder="1" applyAlignment="1" applyProtection="1">
      <alignment horizontal="left" vertical="center"/>
      <protection hidden="1"/>
    </xf>
    <xf numFmtId="168" fontId="11" fillId="3" borderId="6" xfId="1" applyNumberFormat="1"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11" fillId="3" borderId="5" xfId="0" applyFont="1" applyFill="1" applyBorder="1" applyAlignment="1" applyProtection="1">
      <alignment vertical="center"/>
      <protection hidden="1"/>
    </xf>
    <xf numFmtId="167" fontId="11" fillId="3" borderId="5" xfId="1" applyNumberFormat="1" applyFont="1" applyFill="1" applyBorder="1" applyAlignment="1" applyProtection="1">
      <alignment vertical="center"/>
      <protection hidden="1"/>
    </xf>
    <xf numFmtId="0" fontId="25" fillId="5" borderId="0" xfId="0" applyFont="1"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5" fillId="5"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32" fillId="3" borderId="0" xfId="0" applyFont="1" applyFill="1" applyProtection="1">
      <protection hidden="1"/>
    </xf>
    <xf numFmtId="0" fontId="16" fillId="11" borderId="1" xfId="0" applyFont="1" applyFill="1" applyBorder="1" applyAlignment="1" applyProtection="1">
      <alignment vertical="center" wrapText="1"/>
      <protection hidden="1"/>
    </xf>
    <xf numFmtId="0" fontId="16" fillId="11" borderId="1" xfId="0" applyFont="1" applyFill="1" applyBorder="1" applyAlignment="1" applyProtection="1">
      <alignment horizontal="center" vertical="center" wrapText="1"/>
      <protection hidden="1"/>
    </xf>
    <xf numFmtId="0" fontId="11" fillId="13" borderId="1" xfId="0" applyFont="1" applyFill="1" applyBorder="1" applyAlignment="1" applyProtection="1">
      <alignment vertical="center" wrapText="1"/>
      <protection hidden="1"/>
    </xf>
    <xf numFmtId="0" fontId="11" fillId="13" borderId="2" xfId="0" applyFont="1" applyFill="1" applyBorder="1" applyAlignment="1" applyProtection="1">
      <alignment vertical="center" wrapText="1"/>
      <protection hidden="1"/>
    </xf>
    <xf numFmtId="0" fontId="19" fillId="6" borderId="1" xfId="0" applyFont="1" applyFill="1" applyBorder="1" applyAlignment="1" applyProtection="1">
      <alignment vertical="center" wrapText="1"/>
      <protection hidden="1"/>
    </xf>
    <xf numFmtId="167" fontId="12" fillId="3" borderId="1" xfId="1" applyNumberFormat="1" applyFont="1" applyFill="1" applyBorder="1" applyAlignment="1" applyProtection="1">
      <alignment vertical="center"/>
      <protection hidden="1"/>
    </xf>
    <xf numFmtId="9" fontId="12" fillId="3" borderId="0" xfId="0" applyNumberFormat="1" applyFont="1" applyFill="1" applyBorder="1" applyAlignment="1" applyProtection="1">
      <alignment vertical="center"/>
      <protection hidden="1"/>
    </xf>
    <xf numFmtId="0" fontId="12" fillId="3" borderId="0" xfId="0" applyFont="1" applyFill="1" applyAlignment="1" applyProtection="1">
      <alignment vertical="center"/>
      <protection hidden="1"/>
    </xf>
    <xf numFmtId="0" fontId="10" fillId="5" borderId="0" xfId="0" applyFont="1" applyFill="1" applyBorder="1" applyAlignment="1" applyProtection="1">
      <alignment horizontal="left" vertical="center"/>
      <protection hidden="1"/>
    </xf>
    <xf numFmtId="0" fontId="9"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9" fillId="3" borderId="8" xfId="0" applyFont="1" applyFill="1" applyBorder="1" applyAlignment="1" applyProtection="1">
      <alignment vertical="center"/>
      <protection hidden="1"/>
    </xf>
    <xf numFmtId="0" fontId="12" fillId="3" borderId="3" xfId="0" applyFont="1" applyFill="1" applyBorder="1" applyAlignment="1" applyProtection="1">
      <alignment vertical="center"/>
      <protection hidden="1"/>
    </xf>
    <xf numFmtId="0" fontId="12" fillId="3" borderId="7" xfId="0" applyFont="1" applyFill="1" applyBorder="1" applyAlignment="1" applyProtection="1">
      <alignment vertical="center"/>
      <protection hidden="1"/>
    </xf>
    <xf numFmtId="0" fontId="12" fillId="3" borderId="4" xfId="0" applyFont="1" applyFill="1" applyBorder="1" applyAlignment="1" applyProtection="1">
      <alignment vertical="center"/>
      <protection hidden="1"/>
    </xf>
    <xf numFmtId="167" fontId="12" fillId="3" borderId="1" xfId="0" applyNumberFormat="1" applyFont="1" applyFill="1" applyBorder="1" applyAlignment="1" applyProtection="1">
      <alignment horizontal="right" vertical="center"/>
      <protection hidden="1"/>
    </xf>
    <xf numFmtId="0" fontId="11" fillId="3" borderId="0" xfId="0" applyFont="1" applyFill="1" applyBorder="1" applyAlignment="1" applyProtection="1">
      <alignment horizontal="center" vertical="center"/>
      <protection hidden="1"/>
    </xf>
    <xf numFmtId="0" fontId="12" fillId="3" borderId="1" xfId="0" applyFont="1" applyFill="1" applyBorder="1" applyAlignment="1" applyProtection="1">
      <alignment horizontal="right" vertical="center"/>
      <protection hidden="1"/>
    </xf>
    <xf numFmtId="9" fontId="12" fillId="3" borderId="0" xfId="0" applyNumberFormat="1" applyFont="1" applyFill="1" applyProtection="1">
      <protection hidden="1"/>
    </xf>
    <xf numFmtId="1" fontId="12" fillId="3" borderId="1" xfId="0" applyNumberFormat="1" applyFont="1" applyFill="1" applyBorder="1" applyAlignment="1" applyProtection="1">
      <alignment horizontal="right" vertical="center"/>
      <protection hidden="1"/>
    </xf>
    <xf numFmtId="0" fontId="13" fillId="3" borderId="0" xfId="0" applyFont="1" applyFill="1" applyProtection="1">
      <protection hidden="1"/>
    </xf>
    <xf numFmtId="0" fontId="12" fillId="5" borderId="0" xfId="0" applyFont="1" applyFill="1" applyAlignment="1" applyProtection="1">
      <alignment vertical="center"/>
      <protection hidden="1"/>
    </xf>
    <xf numFmtId="0" fontId="11" fillId="2" borderId="1" xfId="0" applyFont="1" applyFill="1" applyBorder="1" applyAlignment="1" applyProtection="1">
      <alignment horizontal="center" vertical="center"/>
      <protection hidden="1"/>
    </xf>
    <xf numFmtId="0" fontId="9" fillId="7" borderId="0" xfId="0" applyFont="1" applyFill="1" applyAlignment="1" applyProtection="1">
      <alignment horizontal="center" vertical="center"/>
      <protection locked="0"/>
    </xf>
    <xf numFmtId="3" fontId="12" fillId="2" borderId="1" xfId="0" applyNumberFormat="1" applyFont="1" applyFill="1" applyBorder="1" applyProtection="1">
      <protection locked="0" hidden="1"/>
    </xf>
    <xf numFmtId="0" fontId="17" fillId="3" borderId="0" xfId="0" applyFont="1" applyFill="1" applyAlignment="1" applyProtection="1">
      <alignment vertical="center"/>
      <protection hidden="1"/>
    </xf>
    <xf numFmtId="166" fontId="11" fillId="2" borderId="1" xfId="0" applyNumberFormat="1" applyFont="1" applyFill="1" applyBorder="1" applyAlignment="1" applyProtection="1">
      <alignment vertical="center"/>
      <protection locked="0"/>
    </xf>
    <xf numFmtId="0" fontId="11" fillId="7" borderId="1" xfId="0" applyFont="1" applyFill="1" applyBorder="1" applyAlignment="1" applyProtection="1">
      <alignment horizontal="right" vertical="center"/>
      <protection locked="0"/>
    </xf>
    <xf numFmtId="167" fontId="11" fillId="2" borderId="1" xfId="0" applyNumberFormat="1" applyFont="1" applyFill="1" applyBorder="1" applyAlignment="1" applyProtection="1">
      <alignment vertical="center"/>
      <protection locked="0"/>
    </xf>
    <xf numFmtId="167" fontId="11" fillId="2" borderId="1" xfId="1" applyNumberFormat="1" applyFont="1" applyFill="1" applyBorder="1" applyAlignment="1" applyProtection="1">
      <alignment vertical="center"/>
      <protection locked="0"/>
    </xf>
    <xf numFmtId="165" fontId="16" fillId="3" borderId="0" xfId="0" applyNumberFormat="1" applyFont="1" applyFill="1" applyProtection="1">
      <protection hidden="1"/>
    </xf>
    <xf numFmtId="3" fontId="11" fillId="2" borderId="1" xfId="0" applyNumberFormat="1" applyFont="1" applyFill="1" applyBorder="1" applyAlignment="1" applyProtection="1">
      <alignment vertical="center"/>
      <protection locked="0"/>
    </xf>
    <xf numFmtId="0" fontId="12" fillId="0" borderId="1" xfId="0" applyFont="1" applyBorder="1" applyAlignment="1" applyProtection="1">
      <alignment horizontal="left" vertical="center" wrapText="1"/>
      <protection hidden="1"/>
    </xf>
    <xf numFmtId="9" fontId="12" fillId="3" borderId="1" xfId="0" applyNumberFormat="1" applyFont="1" applyFill="1" applyBorder="1" applyAlignment="1" applyProtection="1">
      <alignment vertical="center"/>
      <protection hidden="1"/>
    </xf>
    <xf numFmtId="0" fontId="0" fillId="3" borderId="0" xfId="0" applyFill="1" applyAlignment="1" applyProtection="1">
      <alignment vertical="center"/>
      <protection hidden="1"/>
    </xf>
    <xf numFmtId="0" fontId="12" fillId="0" borderId="6" xfId="0" applyFont="1" applyBorder="1" applyAlignment="1" applyProtection="1">
      <alignment horizontal="left" vertical="center" wrapText="1"/>
      <protection hidden="1"/>
    </xf>
    <xf numFmtId="0" fontId="12" fillId="0" borderId="6" xfId="0" applyFont="1" applyBorder="1" applyAlignment="1" applyProtection="1">
      <alignment vertical="center"/>
      <protection hidden="1"/>
    </xf>
    <xf numFmtId="0" fontId="12" fillId="3" borderId="5" xfId="0" applyFont="1" applyFill="1" applyBorder="1" applyAlignment="1" applyProtection="1">
      <alignment vertical="center"/>
      <protection hidden="1"/>
    </xf>
    <xf numFmtId="0" fontId="9" fillId="5"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12" fillId="0" borderId="1" xfId="0" applyFont="1" applyBorder="1" applyAlignment="1" applyProtection="1">
      <alignment vertical="center"/>
      <protection hidden="1"/>
    </xf>
    <xf numFmtId="172" fontId="12" fillId="0" borderId="3" xfId="4" applyNumberFormat="1" applyFont="1" applyBorder="1" applyAlignment="1" applyProtection="1">
      <alignment horizontal="center" vertical="center"/>
      <protection hidden="1"/>
    </xf>
    <xf numFmtId="1" fontId="12" fillId="0" borderId="3" xfId="4" applyNumberFormat="1" applyFont="1" applyBorder="1" applyAlignment="1" applyProtection="1">
      <alignment horizontal="center" vertical="center"/>
      <protection hidden="1"/>
    </xf>
    <xf numFmtId="165" fontId="12" fillId="0" borderId="3" xfId="1" applyNumberFormat="1" applyFont="1" applyBorder="1" applyAlignment="1" applyProtection="1">
      <alignment horizontal="center" vertical="center"/>
      <protection hidden="1"/>
    </xf>
    <xf numFmtId="0" fontId="12" fillId="5" borderId="1" xfId="0" applyFont="1" applyFill="1" applyBorder="1" applyAlignment="1" applyProtection="1">
      <alignment vertical="center"/>
      <protection hidden="1"/>
    </xf>
    <xf numFmtId="165" fontId="11" fillId="5" borderId="3" xfId="1" applyNumberFormat="1" applyFont="1" applyFill="1" applyBorder="1" applyAlignment="1" applyProtection="1">
      <alignment horizontal="center" vertical="center"/>
      <protection hidden="1"/>
    </xf>
    <xf numFmtId="0" fontId="11" fillId="9" borderId="1" xfId="0" applyFont="1" applyFill="1" applyBorder="1" applyAlignment="1" applyProtection="1">
      <alignment vertical="center"/>
      <protection hidden="1"/>
    </xf>
    <xf numFmtId="165" fontId="11" fillId="9" borderId="3" xfId="1" applyNumberFormat="1" applyFont="1" applyFill="1" applyBorder="1" applyAlignment="1" applyProtection="1">
      <alignment horizontal="center" vertical="center"/>
      <protection hidden="1"/>
    </xf>
    <xf numFmtId="9" fontId="12" fillId="0" borderId="3" xfId="3" applyFont="1" applyBorder="1" applyAlignment="1" applyProtection="1">
      <alignment horizontal="center" vertical="center"/>
      <protection hidden="1"/>
    </xf>
    <xf numFmtId="9" fontId="12" fillId="0" borderId="1" xfId="3" applyFont="1" applyBorder="1" applyAlignment="1" applyProtection="1">
      <alignment horizontal="center" vertical="center"/>
      <protection hidden="1"/>
    </xf>
    <xf numFmtId="172" fontId="12" fillId="0" borderId="1" xfId="4" applyNumberFormat="1" applyFont="1" applyBorder="1" applyAlignment="1" applyProtection="1">
      <alignment horizontal="center" vertical="center"/>
      <protection hidden="1"/>
    </xf>
    <xf numFmtId="1" fontId="12" fillId="0" borderId="1" xfId="4" applyNumberFormat="1" applyFont="1" applyBorder="1" applyAlignment="1" applyProtection="1">
      <alignment horizontal="center" vertical="center"/>
      <protection hidden="1"/>
    </xf>
    <xf numFmtId="6" fontId="12" fillId="0" borderId="1" xfId="0" applyNumberFormat="1" applyFont="1" applyBorder="1" applyAlignment="1" applyProtection="1">
      <alignment horizontal="center" vertical="center"/>
      <protection hidden="1"/>
    </xf>
    <xf numFmtId="6" fontId="11" fillId="5" borderId="1" xfId="0" applyNumberFormat="1" applyFont="1" applyFill="1" applyBorder="1" applyAlignment="1" applyProtection="1">
      <alignment horizontal="center" vertical="center"/>
      <protection hidden="1"/>
    </xf>
    <xf numFmtId="6" fontId="11" fillId="9" borderId="1" xfId="0" applyNumberFormat="1" applyFont="1" applyFill="1" applyBorder="1" applyAlignment="1" applyProtection="1">
      <alignment horizontal="center" vertical="center"/>
      <protection hidden="1"/>
    </xf>
    <xf numFmtId="0" fontId="11" fillId="3" borderId="1" xfId="0" applyFont="1" applyFill="1" applyBorder="1" applyAlignment="1" applyProtection="1">
      <alignment vertical="center"/>
      <protection hidden="1"/>
    </xf>
    <xf numFmtId="165" fontId="11" fillId="0" borderId="1" xfId="1" applyNumberFormat="1" applyFont="1" applyBorder="1" applyAlignment="1" applyProtection="1">
      <alignment horizontal="center" vertical="center"/>
      <protection hidden="1"/>
    </xf>
    <xf numFmtId="165" fontId="11" fillId="0" borderId="4" xfId="1" applyNumberFormat="1" applyFont="1" applyBorder="1" applyAlignment="1" applyProtection="1">
      <alignment horizontal="center" vertical="center"/>
      <protection hidden="1"/>
    </xf>
    <xf numFmtId="0" fontId="12" fillId="6" borderId="1" xfId="0" applyFont="1" applyFill="1" applyBorder="1" applyAlignment="1" applyProtection="1">
      <alignment vertical="center" wrapText="1"/>
      <protection hidden="1"/>
    </xf>
    <xf numFmtId="165" fontId="12" fillId="3" borderId="0" xfId="0" applyNumberFormat="1" applyFont="1" applyFill="1" applyAlignment="1" applyProtection="1">
      <alignment vertical="center"/>
      <protection hidden="1"/>
    </xf>
    <xf numFmtId="165" fontId="0" fillId="3" borderId="0" xfId="0" applyNumberFormat="1" applyFill="1" applyAlignment="1" applyProtection="1">
      <alignment vertical="center"/>
      <protection hidden="1"/>
    </xf>
    <xf numFmtId="1" fontId="12" fillId="3" borderId="1" xfId="4" applyNumberFormat="1" applyFont="1" applyFill="1" applyBorder="1" applyAlignment="1" applyProtection="1">
      <alignment vertical="center"/>
      <protection hidden="1"/>
    </xf>
    <xf numFmtId="2" fontId="12" fillId="3" borderId="0" xfId="0" applyNumberFormat="1" applyFont="1" applyFill="1" applyAlignment="1" applyProtection="1">
      <alignment vertical="center"/>
      <protection hidden="1"/>
    </xf>
    <xf numFmtId="14" fontId="12" fillId="3" borderId="0" xfId="0" applyNumberFormat="1" applyFont="1" applyFill="1" applyAlignment="1" applyProtection="1">
      <alignment vertical="center"/>
      <protection hidden="1"/>
    </xf>
    <xf numFmtId="0" fontId="12" fillId="3" borderId="1" xfId="0" applyFont="1" applyFill="1" applyBorder="1" applyAlignment="1" applyProtection="1">
      <alignment horizontal="left" vertical="center"/>
      <protection hidden="1"/>
    </xf>
    <xf numFmtId="171" fontId="12" fillId="3" borderId="1" xfId="4" applyNumberFormat="1" applyFont="1" applyFill="1" applyBorder="1" applyAlignment="1" applyProtection="1">
      <alignment vertical="center"/>
      <protection hidden="1"/>
    </xf>
    <xf numFmtId="10" fontId="0" fillId="3" borderId="0" xfId="3" applyNumberFormat="1" applyFont="1" applyFill="1" applyAlignment="1" applyProtection="1">
      <alignment vertical="center"/>
      <protection hidden="1"/>
    </xf>
    <xf numFmtId="14" fontId="0" fillId="3" borderId="0" xfId="3" applyNumberFormat="1" applyFont="1" applyFill="1" applyAlignment="1" applyProtection="1">
      <alignment vertical="center"/>
      <protection hidden="1"/>
    </xf>
    <xf numFmtId="171" fontId="0" fillId="3" borderId="0" xfId="4" applyNumberFormat="1" applyFont="1" applyFill="1" applyAlignment="1" applyProtection="1">
      <alignment vertical="center"/>
      <protection hidden="1"/>
    </xf>
    <xf numFmtId="0" fontId="11" fillId="3" borderId="0" xfId="0" applyFont="1" applyFill="1" applyAlignment="1" applyProtection="1">
      <alignment horizontal="right" vertical="center"/>
      <protection hidden="1"/>
    </xf>
    <xf numFmtId="0" fontId="14" fillId="3" borderId="0" xfId="0" applyFont="1" applyFill="1" applyAlignment="1" applyProtection="1">
      <alignment vertical="center"/>
      <protection hidden="1"/>
    </xf>
    <xf numFmtId="165" fontId="12" fillId="3" borderId="1" xfId="0" applyNumberFormat="1" applyFont="1" applyFill="1" applyBorder="1" applyAlignment="1" applyProtection="1">
      <alignment vertical="center"/>
      <protection hidden="1"/>
    </xf>
    <xf numFmtId="173" fontId="11" fillId="2" borderId="1" xfId="4" applyNumberFormat="1" applyFont="1" applyFill="1" applyBorder="1" applyAlignment="1" applyProtection="1">
      <alignment vertical="center"/>
      <protection locked="0"/>
    </xf>
    <xf numFmtId="44" fontId="11" fillId="2" borderId="1" xfId="1" applyFont="1" applyFill="1" applyBorder="1" applyAlignment="1" applyProtection="1">
      <alignment vertical="center"/>
      <protection locked="0"/>
    </xf>
    <xf numFmtId="165" fontId="20" fillId="6" borderId="1"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horizontal="right" vertical="center"/>
      <protection locked="0"/>
    </xf>
    <xf numFmtId="3" fontId="11" fillId="2" borderId="1" xfId="0" applyNumberFormat="1" applyFont="1" applyFill="1" applyBorder="1" applyAlignment="1" applyProtection="1">
      <alignment horizontal="right" vertical="center"/>
      <protection locked="0"/>
    </xf>
    <xf numFmtId="168" fontId="12" fillId="2" borderId="1" xfId="1" applyNumberFormat="1" applyFont="1" applyFill="1" applyBorder="1" applyAlignment="1" applyProtection="1">
      <alignment horizontal="center" vertical="center"/>
      <protection locked="0"/>
    </xf>
    <xf numFmtId="168" fontId="12" fillId="2" borderId="1" xfId="1" applyNumberFormat="1" applyFont="1" applyFill="1" applyBorder="1" applyAlignment="1" applyProtection="1">
      <alignment vertical="center"/>
      <protection locked="0"/>
    </xf>
    <xf numFmtId="9" fontId="11" fillId="2" borderId="1" xfId="0" applyNumberFormat="1" applyFont="1" applyFill="1" applyBorder="1" applyAlignment="1" applyProtection="1">
      <alignment horizontal="right" vertical="center"/>
      <protection locked="0"/>
    </xf>
    <xf numFmtId="0" fontId="5" fillId="3" borderId="0" xfId="0" applyFont="1" applyFill="1" applyAlignment="1" applyProtection="1">
      <alignment horizontal="left" vertical="top" wrapText="1"/>
      <protection hidden="1"/>
    </xf>
    <xf numFmtId="0" fontId="15" fillId="3" borderId="0" xfId="0" applyFont="1" applyFill="1" applyAlignment="1" applyProtection="1">
      <alignment vertical="top" wrapText="1"/>
      <protection hidden="1"/>
    </xf>
    <xf numFmtId="0" fontId="12" fillId="3" borderId="0" xfId="0" applyFont="1" applyFill="1" applyAlignment="1" applyProtection="1">
      <alignment horizontal="left" vertical="top" wrapText="1"/>
      <protection hidden="1"/>
    </xf>
    <xf numFmtId="0" fontId="12" fillId="3" borderId="0" xfId="0" applyFont="1" applyFill="1" applyAlignment="1" applyProtection="1">
      <alignment horizontal="left" vertical="top"/>
      <protection hidden="1"/>
    </xf>
    <xf numFmtId="0" fontId="12" fillId="12" borderId="3" xfId="0" applyFont="1" applyFill="1" applyBorder="1" applyAlignment="1" applyProtection="1">
      <alignment horizontal="left"/>
      <protection hidden="1"/>
    </xf>
    <xf numFmtId="0" fontId="12" fillId="12" borderId="4" xfId="0" applyFont="1" applyFill="1" applyBorder="1" applyAlignment="1" applyProtection="1">
      <alignment horizontal="left"/>
      <protection hidden="1"/>
    </xf>
    <xf numFmtId="0" fontId="12" fillId="5" borderId="3" xfId="0" applyFont="1" applyFill="1" applyBorder="1" applyAlignment="1" applyProtection="1">
      <alignment horizontal="left"/>
      <protection hidden="1"/>
    </xf>
    <xf numFmtId="0" fontId="12" fillId="5" borderId="4" xfId="0" applyFont="1" applyFill="1" applyBorder="1" applyAlignment="1" applyProtection="1">
      <alignment horizontal="left"/>
      <protection hidden="1"/>
    </xf>
    <xf numFmtId="0" fontId="9" fillId="5" borderId="1" xfId="0" applyFont="1" applyFill="1" applyBorder="1" applyAlignment="1" applyProtection="1">
      <alignment horizontal="left"/>
      <protection hidden="1"/>
    </xf>
    <xf numFmtId="0" fontId="12" fillId="3" borderId="3" xfId="0" applyFont="1" applyFill="1" applyBorder="1" applyAlignment="1" applyProtection="1">
      <alignment horizontal="left"/>
      <protection hidden="1"/>
    </xf>
    <xf numFmtId="0" fontId="12" fillId="3" borderId="4" xfId="0" applyFont="1" applyFill="1" applyBorder="1" applyAlignment="1" applyProtection="1">
      <alignment horizontal="left"/>
      <protection hidden="1"/>
    </xf>
    <xf numFmtId="0" fontId="33" fillId="6" borderId="7" xfId="0" applyFont="1" applyFill="1" applyBorder="1" applyAlignment="1" applyProtection="1">
      <alignment vertical="center"/>
      <protection hidden="1"/>
    </xf>
    <xf numFmtId="0" fontId="33" fillId="6" borderId="4" xfId="0" applyFont="1" applyFill="1" applyBorder="1" applyAlignment="1" applyProtection="1">
      <alignment vertical="center"/>
      <protection hidden="1"/>
    </xf>
    <xf numFmtId="0" fontId="6" fillId="10" borderId="12" xfId="0" applyFont="1" applyFill="1" applyBorder="1" applyAlignment="1" applyProtection="1">
      <alignment horizontal="center" vertical="center" textRotation="90" wrapText="1"/>
      <protection hidden="1"/>
    </xf>
    <xf numFmtId="0" fontId="6" fillId="10" borderId="0" xfId="0" applyFont="1" applyFill="1" applyBorder="1" applyAlignment="1" applyProtection="1">
      <alignment horizontal="center" vertical="center" textRotation="90" wrapText="1"/>
      <protection hidden="1"/>
    </xf>
    <xf numFmtId="0" fontId="6" fillId="10" borderId="14" xfId="0" applyFont="1" applyFill="1" applyBorder="1" applyAlignment="1" applyProtection="1">
      <alignment horizontal="center" vertical="center" textRotation="90" wrapText="1"/>
      <protection hidden="1"/>
    </xf>
    <xf numFmtId="0" fontId="6" fillId="10" borderId="10" xfId="0" applyFont="1" applyFill="1" applyBorder="1" applyAlignment="1" applyProtection="1">
      <alignment horizontal="center" vertical="center" textRotation="90" wrapText="1"/>
      <protection hidden="1"/>
    </xf>
    <xf numFmtId="165" fontId="15" fillId="3" borderId="2" xfId="0" applyNumberFormat="1" applyFont="1" applyFill="1" applyBorder="1" applyAlignment="1" applyProtection="1">
      <alignment horizontal="left" vertical="center" wrapText="1"/>
      <protection hidden="1"/>
    </xf>
    <xf numFmtId="165" fontId="15" fillId="3" borderId="11" xfId="0" applyNumberFormat="1" applyFont="1" applyFill="1" applyBorder="1" applyAlignment="1" applyProtection="1">
      <alignment horizontal="left" vertical="center" wrapText="1"/>
      <protection hidden="1"/>
    </xf>
    <xf numFmtId="0" fontId="27" fillId="4" borderId="3" xfId="0" applyFont="1" applyFill="1" applyBorder="1" applyAlignment="1" applyProtection="1">
      <alignment horizontal="left"/>
      <protection hidden="1"/>
    </xf>
    <xf numFmtId="0" fontId="27" fillId="4" borderId="4" xfId="0" applyFont="1" applyFill="1" applyBorder="1" applyAlignment="1" applyProtection="1">
      <alignment horizontal="left"/>
      <protection hidden="1"/>
    </xf>
    <xf numFmtId="0" fontId="9" fillId="5" borderId="1" xfId="0" applyFont="1" applyFill="1" applyBorder="1" applyAlignment="1" applyProtection="1">
      <alignment horizontal="left" vertical="center"/>
      <protection hidden="1"/>
    </xf>
    <xf numFmtId="0" fontId="27" fillId="4" borderId="7" xfId="0" applyFont="1" applyFill="1" applyBorder="1" applyAlignment="1" applyProtection="1">
      <alignment horizontal="left"/>
      <protection hidden="1"/>
    </xf>
    <xf numFmtId="0" fontId="11" fillId="0" borderId="1" xfId="0" applyFont="1" applyBorder="1" applyAlignment="1" applyProtection="1">
      <alignment horizontal="left" vertical="center"/>
      <protection hidden="1"/>
    </xf>
    <xf numFmtId="0" fontId="9" fillId="5" borderId="8" xfId="0" applyFont="1" applyFill="1" applyBorder="1" applyAlignment="1" applyProtection="1">
      <alignment horizontal="left" vertical="center"/>
      <protection hidden="1"/>
    </xf>
    <xf numFmtId="0" fontId="9" fillId="5" borderId="0" xfId="0" applyFont="1" applyFill="1" applyBorder="1" applyAlignment="1" applyProtection="1">
      <alignment horizontal="left" vertical="center"/>
      <protection hidden="1"/>
    </xf>
    <xf numFmtId="0" fontId="9" fillId="9" borderId="0" xfId="0" applyFont="1" applyFill="1" applyAlignment="1" applyProtection="1">
      <alignment horizontal="left" vertical="center"/>
      <protection hidden="1"/>
    </xf>
    <xf numFmtId="0" fontId="12" fillId="0" borderId="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protection hidden="1"/>
    </xf>
    <xf numFmtId="0" fontId="12" fillId="0" borderId="3"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3" borderId="3" xfId="0" applyFont="1" applyFill="1" applyBorder="1" applyAlignment="1" applyProtection="1">
      <alignment horizontal="left" vertical="center" wrapText="1"/>
      <protection hidden="1"/>
    </xf>
    <xf numFmtId="0" fontId="12" fillId="3" borderId="7" xfId="0" applyFont="1" applyFill="1" applyBorder="1" applyAlignment="1" applyProtection="1">
      <alignment horizontal="left" vertical="center" wrapText="1"/>
      <protection hidden="1"/>
    </xf>
    <xf numFmtId="0" fontId="12" fillId="3" borderId="4" xfId="0" applyFont="1" applyFill="1" applyBorder="1" applyAlignment="1" applyProtection="1">
      <alignment horizontal="left" vertical="center" wrapText="1"/>
      <protection hidden="1"/>
    </xf>
    <xf numFmtId="0" fontId="18" fillId="8" borderId="3" xfId="0" applyFont="1" applyFill="1" applyBorder="1" applyAlignment="1" applyProtection="1">
      <alignment horizontal="center" vertical="center"/>
      <protection hidden="1"/>
    </xf>
    <xf numFmtId="0" fontId="18" fillId="8" borderId="7" xfId="0" applyFont="1" applyFill="1" applyBorder="1" applyAlignment="1" applyProtection="1">
      <alignment horizontal="center" vertical="center"/>
      <protection hidden="1"/>
    </xf>
    <xf numFmtId="0" fontId="18" fillId="8" borderId="4" xfId="0" applyFont="1" applyFill="1" applyBorder="1" applyAlignment="1" applyProtection="1">
      <alignment horizontal="center" vertical="center"/>
      <protection hidden="1"/>
    </xf>
    <xf numFmtId="0" fontId="18" fillId="10" borderId="3" xfId="0" applyFont="1" applyFill="1" applyBorder="1" applyAlignment="1" applyProtection="1">
      <alignment horizontal="center" vertical="center"/>
      <protection hidden="1"/>
    </xf>
    <xf numFmtId="0" fontId="18" fillId="10" borderId="7" xfId="0" applyFont="1" applyFill="1" applyBorder="1" applyAlignment="1" applyProtection="1">
      <alignment horizontal="center" vertical="center"/>
      <protection hidden="1"/>
    </xf>
    <xf numFmtId="0" fontId="18" fillId="10" borderId="4" xfId="0" applyFont="1" applyFill="1" applyBorder="1" applyAlignment="1" applyProtection="1">
      <alignment horizontal="center" vertical="center"/>
      <protection hidden="1"/>
    </xf>
    <xf numFmtId="0" fontId="12" fillId="3" borderId="1" xfId="0" applyFont="1" applyFill="1" applyBorder="1" applyAlignment="1" applyProtection="1">
      <alignment horizontal="left" vertical="center"/>
      <protection hidden="1"/>
    </xf>
    <xf numFmtId="0" fontId="22" fillId="3" borderId="1" xfId="0" applyFont="1" applyFill="1" applyBorder="1" applyAlignment="1" applyProtection="1">
      <alignment horizontal="left" vertical="center"/>
      <protection hidden="1"/>
    </xf>
    <xf numFmtId="0" fontId="9" fillId="5" borderId="0" xfId="0" applyFont="1" applyFill="1" applyBorder="1" applyAlignment="1" applyProtection="1">
      <alignment horizontal="left" vertical="center" wrapText="1"/>
      <protection hidden="1"/>
    </xf>
    <xf numFmtId="0" fontId="12" fillId="0" borderId="3" xfId="0" applyFont="1" applyBorder="1" applyAlignment="1" applyProtection="1">
      <alignment horizontal="left" vertical="center"/>
      <protection hidden="1"/>
    </xf>
    <xf numFmtId="0" fontId="12" fillId="0" borderId="7"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0" borderId="9"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165" fontId="11" fillId="6" borderId="3" xfId="1" applyNumberFormat="1" applyFont="1" applyFill="1" applyBorder="1" applyAlignment="1" applyProtection="1">
      <alignment horizontal="center" vertical="center"/>
      <protection hidden="1"/>
    </xf>
    <xf numFmtId="165" fontId="11" fillId="6" borderId="7" xfId="1" applyNumberFormat="1" applyFont="1" applyFill="1" applyBorder="1" applyAlignment="1" applyProtection="1">
      <alignment horizontal="center" vertical="center"/>
      <protection hidden="1"/>
    </xf>
    <xf numFmtId="165" fontId="11" fillId="6" borderId="4" xfId="1" applyNumberFormat="1" applyFont="1" applyFill="1" applyBorder="1" applyAlignment="1" applyProtection="1">
      <alignment horizontal="center" vertical="center"/>
      <protection hidden="1"/>
    </xf>
    <xf numFmtId="0" fontId="11" fillId="5" borderId="9" xfId="0" applyFont="1" applyFill="1" applyBorder="1" applyAlignment="1" applyProtection="1">
      <alignment horizontal="center" vertical="center" wrapText="1"/>
      <protection hidden="1"/>
    </xf>
    <xf numFmtId="0" fontId="11" fillId="5" borderId="10" xfId="0" applyFont="1" applyFill="1" applyBorder="1" applyAlignment="1" applyProtection="1">
      <alignment horizontal="center" vertical="center"/>
      <protection hidden="1"/>
    </xf>
    <xf numFmtId="0" fontId="11" fillId="5" borderId="2" xfId="0" applyFont="1" applyFill="1" applyBorder="1" applyAlignment="1" applyProtection="1">
      <alignment horizontal="center" vertical="center" wrapText="1"/>
      <protection hidden="1"/>
    </xf>
    <xf numFmtId="0" fontId="11" fillId="5" borderId="11" xfId="0" applyFont="1" applyFill="1" applyBorder="1" applyAlignment="1" applyProtection="1">
      <alignment horizontal="center" vertical="center"/>
      <protection hidden="1"/>
    </xf>
    <xf numFmtId="172" fontId="12" fillId="0" borderId="9" xfId="4" applyNumberFormat="1" applyFont="1" applyBorder="1" applyAlignment="1" applyProtection="1">
      <alignment horizontal="center" vertical="center"/>
      <protection hidden="1"/>
    </xf>
    <xf numFmtId="172" fontId="12" fillId="0" borderId="13" xfId="4" applyNumberFormat="1" applyFont="1" applyBorder="1" applyAlignment="1" applyProtection="1">
      <alignment horizontal="center" vertical="center"/>
      <protection hidden="1"/>
    </xf>
    <xf numFmtId="172" fontId="12" fillId="0" borderId="14" xfId="4" applyNumberFormat="1" applyFont="1" applyBorder="1" applyAlignment="1" applyProtection="1">
      <alignment horizontal="center" vertical="center"/>
      <protection hidden="1"/>
    </xf>
    <xf numFmtId="172" fontId="12" fillId="0" borderId="15" xfId="4" applyNumberFormat="1" applyFont="1" applyBorder="1" applyAlignment="1" applyProtection="1">
      <alignment horizontal="center" vertical="center"/>
      <protection hidden="1"/>
    </xf>
    <xf numFmtId="172" fontId="12" fillId="0" borderId="10" xfId="4" applyNumberFormat="1" applyFont="1" applyBorder="1" applyAlignment="1" applyProtection="1">
      <alignment horizontal="center" vertical="center"/>
      <protection hidden="1"/>
    </xf>
    <xf numFmtId="1" fontId="12" fillId="0" borderId="16" xfId="4" applyNumberFormat="1" applyFont="1" applyBorder="1" applyAlignment="1" applyProtection="1">
      <alignment horizontal="center" vertical="center"/>
      <protection hidden="1"/>
    </xf>
    <xf numFmtId="1" fontId="12" fillId="0" borderId="17" xfId="4" applyNumberFormat="1" applyFont="1" applyBorder="1" applyAlignment="1" applyProtection="1">
      <alignment horizontal="center" vertical="center"/>
      <protection hidden="1"/>
    </xf>
    <xf numFmtId="1" fontId="12" fillId="0" borderId="11" xfId="4" applyNumberFormat="1" applyFont="1" applyBorder="1" applyAlignment="1" applyProtection="1">
      <alignment horizontal="center" vertical="center"/>
      <protection hidden="1"/>
    </xf>
    <xf numFmtId="9" fontId="12" fillId="0" borderId="2" xfId="3" applyFont="1" applyBorder="1" applyAlignment="1" applyProtection="1">
      <alignment horizontal="center" vertical="center"/>
      <protection hidden="1"/>
    </xf>
    <xf numFmtId="9" fontId="12" fillId="0" borderId="17" xfId="3" applyFont="1" applyBorder="1" applyAlignment="1" applyProtection="1">
      <alignment horizontal="center" vertical="center"/>
      <protection hidden="1"/>
    </xf>
    <xf numFmtId="9" fontId="12" fillId="0" borderId="11" xfId="3" applyFont="1" applyBorder="1" applyAlignment="1" applyProtection="1">
      <alignment horizontal="center" vertical="center"/>
      <protection hidden="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11" xfId="0" applyFont="1" applyFill="1" applyBorder="1" applyAlignment="1">
      <alignment horizontal="center" vertical="center"/>
    </xf>
    <xf numFmtId="1" fontId="12" fillId="0" borderId="3" xfId="4" applyNumberFormat="1" applyFont="1" applyBorder="1" applyAlignment="1">
      <alignment horizontal="center" vertical="center"/>
    </xf>
    <xf numFmtId="1" fontId="12" fillId="0" borderId="4" xfId="4" applyNumberFormat="1" applyFont="1" applyBorder="1" applyAlignment="1">
      <alignment horizontal="center" vertical="center"/>
    </xf>
    <xf numFmtId="165" fontId="11" fillId="0" borderId="3" xfId="1" applyNumberFormat="1" applyFont="1" applyBorder="1" applyAlignment="1">
      <alignment horizontal="center" vertical="center"/>
    </xf>
    <xf numFmtId="165" fontId="11" fillId="0" borderId="4" xfId="1" applyNumberFormat="1" applyFont="1" applyBorder="1" applyAlignment="1">
      <alignment horizontal="center" vertical="center"/>
    </xf>
    <xf numFmtId="165" fontId="12" fillId="0" borderId="3" xfId="1" applyNumberFormat="1" applyFont="1" applyBorder="1" applyAlignment="1">
      <alignment horizontal="center" vertical="center"/>
    </xf>
    <xf numFmtId="165" fontId="12" fillId="0" borderId="4" xfId="1" applyNumberFormat="1" applyFont="1" applyBorder="1" applyAlignment="1">
      <alignment horizontal="center" vertical="center"/>
    </xf>
    <xf numFmtId="165" fontId="11" fillId="0" borderId="1" xfId="1" applyNumberFormat="1" applyFont="1" applyBorder="1" applyAlignment="1">
      <alignment horizontal="center" vertical="center"/>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165" fontId="3" fillId="3" borderId="1" xfId="1" applyNumberFormat="1" applyFont="1" applyFill="1" applyBorder="1" applyAlignment="1">
      <alignment horizontal="center" vertical="center"/>
    </xf>
  </cellXfs>
  <cellStyles count="5">
    <cellStyle name="Euro" xfId="2" xr:uid="{00000000-0005-0000-0000-000000000000}"/>
    <cellStyle name="Komma" xfId="4" builtinId="3"/>
    <cellStyle name="Prozent" xfId="3" builtinId="5"/>
    <cellStyle name="Standard" xfId="0" builtinId="0"/>
    <cellStyle name="Währung" xfId="1" builtinId="4"/>
  </cellStyles>
  <dxfs count="15">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b/>
        <i val="0"/>
        <strike val="0"/>
        <color theme="0"/>
      </font>
      <fill>
        <patternFill>
          <bgColor rgb="FFC00000"/>
        </patternFill>
      </fill>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s>
  <tableStyles count="0" defaultTableStyle="TableStyleMedium2" defaultPivotStyle="PivotStyleLight16"/>
  <colors>
    <mruColors>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100012</xdr:rowOff>
    </xdr:from>
    <xdr:to>
      <xdr:col>15</xdr:col>
      <xdr:colOff>27024</xdr:colOff>
      <xdr:row>1</xdr:row>
      <xdr:rowOff>172028</xdr:rowOff>
    </xdr:to>
    <xdr:pic>
      <xdr:nvPicPr>
        <xdr:cNvPr id="2" name="Grafik 1">
          <a:extLst>
            <a:ext uri="{FF2B5EF4-FFF2-40B4-BE49-F238E27FC236}">
              <a16:creationId xmlns:a16="http://schemas.microsoft.com/office/drawing/2014/main" id="{345DD374-B959-487B-A02A-96954080C3FE}"/>
            </a:ext>
          </a:extLst>
        </xdr:cNvPr>
        <xdr:cNvPicPr>
          <a:picLocks noChangeAspect="1"/>
        </xdr:cNvPicPr>
      </xdr:nvPicPr>
      <xdr:blipFill>
        <a:blip xmlns:r="http://schemas.openxmlformats.org/officeDocument/2006/relationships" r:embed="rId1"/>
        <a:stretch>
          <a:fillRect/>
        </a:stretch>
      </xdr:blipFill>
      <xdr:spPr>
        <a:xfrm>
          <a:off x="9786937" y="100012"/>
          <a:ext cx="1816363" cy="27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390525</xdr:colOff>
      <xdr:row>0</xdr:row>
      <xdr:rowOff>171450</xdr:rowOff>
    </xdr:from>
    <xdr:to>
      <xdr:col>2</xdr:col>
      <xdr:colOff>1854846</xdr:colOff>
      <xdr:row>2</xdr:row>
      <xdr:rowOff>21418</xdr:rowOff>
    </xdr:to>
    <xdr:pic>
      <xdr:nvPicPr>
        <xdr:cNvPr id="2" name="Grafik 1">
          <a:extLst>
            <a:ext uri="{FF2B5EF4-FFF2-40B4-BE49-F238E27FC236}">
              <a16:creationId xmlns:a16="http://schemas.microsoft.com/office/drawing/2014/main" id="{5E024DE0-AE2F-4FC5-B12D-97A71DD4AF87}"/>
            </a:ext>
          </a:extLst>
        </xdr:cNvPr>
        <xdr:cNvPicPr>
          <a:picLocks noChangeAspect="1"/>
        </xdr:cNvPicPr>
      </xdr:nvPicPr>
      <xdr:blipFill>
        <a:blip xmlns:r="http://schemas.openxmlformats.org/officeDocument/2006/relationships" r:embed="rId1"/>
        <a:stretch>
          <a:fillRect/>
        </a:stretch>
      </xdr:blipFill>
      <xdr:spPr>
        <a:xfrm>
          <a:off x="7372350" y="171450"/>
          <a:ext cx="1464321" cy="211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829236</xdr:colOff>
      <xdr:row>0</xdr:row>
      <xdr:rowOff>100854</xdr:rowOff>
    </xdr:from>
    <xdr:to>
      <xdr:col>4</xdr:col>
      <xdr:colOff>2506824</xdr:colOff>
      <xdr:row>1</xdr:row>
      <xdr:rowOff>131457</xdr:rowOff>
    </xdr:to>
    <xdr:pic>
      <xdr:nvPicPr>
        <xdr:cNvPr id="2" name="Grafik 1">
          <a:extLst>
            <a:ext uri="{FF2B5EF4-FFF2-40B4-BE49-F238E27FC236}">
              <a16:creationId xmlns:a16="http://schemas.microsoft.com/office/drawing/2014/main" id="{F98B76FC-3F76-41A9-804F-A5A4C29B7E5C}"/>
            </a:ext>
          </a:extLst>
        </xdr:cNvPr>
        <xdr:cNvPicPr>
          <a:picLocks noChangeAspect="1"/>
        </xdr:cNvPicPr>
      </xdr:nvPicPr>
      <xdr:blipFill>
        <a:blip xmlns:r="http://schemas.openxmlformats.org/officeDocument/2006/relationships" r:embed="rId1"/>
        <a:stretch>
          <a:fillRect/>
        </a:stretch>
      </xdr:blipFill>
      <xdr:spPr>
        <a:xfrm>
          <a:off x="10964957" y="100854"/>
          <a:ext cx="1695272" cy="25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e%20von%20Sachkostenrechner_PSIX_V09_inkl.Deckbla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Modellprämissen"/>
      <sheetName val="Sachkostenrechner"/>
      <sheetName val="Testdaten"/>
      <sheetName val="Preistabelle"/>
      <sheetName val="LBFW"/>
      <sheetName val="16.03 Ausbruch WHO"/>
      <sheetName val="vor Pandemie"/>
    </sheetNames>
    <sheetDataSet>
      <sheetData sheetId="0" refreshError="1"/>
      <sheetData sheetId="1" refreshError="1"/>
      <sheetData sheetId="2">
        <row r="8">
          <cell r="E8">
            <v>350</v>
          </cell>
          <cell r="I8">
            <v>35</v>
          </cell>
        </row>
        <row r="9">
          <cell r="E9">
            <v>0.8</v>
          </cell>
          <cell r="I9">
            <v>0.9</v>
          </cell>
        </row>
        <row r="15">
          <cell r="O15">
            <v>0.14499999999999999</v>
          </cell>
          <cell r="Q15">
            <v>0.17399999999999999</v>
          </cell>
        </row>
        <row r="21">
          <cell r="O21">
            <v>4.8</v>
          </cell>
          <cell r="Q21">
            <v>93.534999999999997</v>
          </cell>
        </row>
        <row r="29">
          <cell r="O29">
            <v>11.27</v>
          </cell>
          <cell r="Q29">
            <v>123.03999999999999</v>
          </cell>
        </row>
        <row r="32">
          <cell r="F32">
            <v>50</v>
          </cell>
          <cell r="K32">
            <v>50</v>
          </cell>
        </row>
        <row r="38">
          <cell r="O38">
            <v>16.149999999999999</v>
          </cell>
          <cell r="Q38">
            <v>180.24</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Vicondo neues Design">
      <a:dk1>
        <a:srgbClr val="000000"/>
      </a:dk1>
      <a:lt1>
        <a:sysClr val="window" lastClr="FFFFFF"/>
      </a:lt1>
      <a:dk2>
        <a:srgbClr val="E8E8E4"/>
      </a:dk2>
      <a:lt2>
        <a:srgbClr val="52555C"/>
      </a:lt2>
      <a:accent1>
        <a:srgbClr val="00354C"/>
      </a:accent1>
      <a:accent2>
        <a:srgbClr val="EC6726"/>
      </a:accent2>
      <a:accent3>
        <a:srgbClr val="82C7D0"/>
      </a:accent3>
      <a:accent4>
        <a:srgbClr val="9D9D9C"/>
      </a:accent4>
      <a:accent5>
        <a:srgbClr val="C8C8C8"/>
      </a:accent5>
      <a:accent6>
        <a:srgbClr val="005E65"/>
      </a:accent6>
      <a:hlink>
        <a:srgbClr val="1D4477"/>
      </a:hlink>
      <a:folHlink>
        <a:srgbClr val="1D447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9CA1-557C-42EB-9B3D-CD26470E7EA9}">
  <dimension ref="A1:O3"/>
  <sheetViews>
    <sheetView workbookViewId="0">
      <selection activeCell="A3" sqref="A3:L3"/>
    </sheetView>
  </sheetViews>
  <sheetFormatPr baseColWidth="10" defaultColWidth="10.6640625" defaultRowHeight="13.9" x14ac:dyDescent="0.4"/>
  <cols>
    <col min="1" max="11" width="10.6640625" style="39"/>
    <col min="12" max="13" width="11.6640625" style="39" customWidth="1"/>
    <col min="14" max="14" width="14.3984375" style="39" customWidth="1"/>
    <col min="15" max="16384" width="10.6640625" style="39"/>
  </cols>
  <sheetData>
    <row r="1" spans="1:15" ht="15.4" x14ac:dyDescent="0.45">
      <c r="A1" s="38" t="s">
        <v>41</v>
      </c>
    </row>
    <row r="3" spans="1:15" ht="409.35" customHeight="1" x14ac:dyDescent="0.4">
      <c r="A3" s="190" t="s">
        <v>40</v>
      </c>
      <c r="B3" s="190"/>
      <c r="C3" s="190"/>
      <c r="D3" s="190"/>
      <c r="E3" s="190"/>
      <c r="F3" s="190"/>
      <c r="G3" s="190"/>
      <c r="H3" s="190"/>
      <c r="I3" s="190"/>
      <c r="J3" s="190"/>
      <c r="K3" s="190"/>
      <c r="L3" s="190"/>
      <c r="M3" s="40"/>
      <c r="N3" s="191" t="s">
        <v>154</v>
      </c>
      <c r="O3" s="191"/>
    </row>
  </sheetData>
  <sheetProtection algorithmName="SHA-512" hashValue="324IEctRxZ8QcRNSmUJGFwb9RaRhBtw8KDca3TIW8m47DLLN3yfUoH/rzH6Lv4Kk6Amd7cVrwMT5zKQi84zrQA==" saltValue="wfG1rCatkdpx7HMQhZfSGA==" spinCount="100000" sheet="1" objects="1" scenarios="1"/>
  <mergeCells count="2">
    <mergeCell ref="A3:L3"/>
    <mergeCell ref="N3:O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E198-D960-40A9-8EE8-925A76EA4987}">
  <dimension ref="A2:E22"/>
  <sheetViews>
    <sheetView workbookViewId="0">
      <selection activeCell="B3" sqref="B3"/>
    </sheetView>
  </sheetViews>
  <sheetFormatPr baseColWidth="10" defaultColWidth="10.6640625" defaultRowHeight="14.25" x14ac:dyDescent="0.45"/>
  <cols>
    <col min="1" max="1" width="88.06640625" style="42" customWidth="1"/>
    <col min="2" max="2" width="10.6640625" style="42"/>
    <col min="3" max="3" width="26.19921875" style="42" customWidth="1"/>
    <col min="4" max="16384" width="10.6640625" style="42"/>
  </cols>
  <sheetData>
    <row r="2" spans="1:4" x14ac:dyDescent="0.45">
      <c r="A2" s="41" t="s">
        <v>33</v>
      </c>
      <c r="B2" s="39"/>
      <c r="C2" s="39"/>
      <c r="D2" s="39"/>
    </row>
    <row r="3" spans="1:4" x14ac:dyDescent="0.45">
      <c r="A3" s="41"/>
      <c r="B3" s="39"/>
      <c r="C3" s="39"/>
      <c r="D3" s="39"/>
    </row>
    <row r="4" spans="1:4" x14ac:dyDescent="0.45">
      <c r="A4" s="43" t="s">
        <v>34</v>
      </c>
      <c r="B4" s="198" t="s">
        <v>35</v>
      </c>
      <c r="C4" s="198"/>
      <c r="D4" s="44"/>
    </row>
    <row r="5" spans="1:4" x14ac:dyDescent="0.45">
      <c r="A5" s="45" t="s">
        <v>59</v>
      </c>
      <c r="B5" s="194" t="s">
        <v>29</v>
      </c>
      <c r="C5" s="195"/>
      <c r="D5" s="44"/>
    </row>
    <row r="6" spans="1:4" x14ac:dyDescent="0.45">
      <c r="A6" s="45" t="s">
        <v>60</v>
      </c>
      <c r="B6" s="194" t="s">
        <v>97</v>
      </c>
      <c r="C6" s="195"/>
      <c r="D6" s="44"/>
    </row>
    <row r="7" spans="1:4" x14ac:dyDescent="0.45">
      <c r="A7" s="46" t="s">
        <v>61</v>
      </c>
      <c r="B7" s="199" t="s">
        <v>30</v>
      </c>
      <c r="C7" s="200"/>
      <c r="D7" s="44"/>
    </row>
    <row r="8" spans="1:4" x14ac:dyDescent="0.45">
      <c r="A8" s="46" t="s">
        <v>62</v>
      </c>
      <c r="B8" s="199" t="s">
        <v>31</v>
      </c>
      <c r="C8" s="200"/>
      <c r="D8" s="44"/>
    </row>
    <row r="9" spans="1:4" x14ac:dyDescent="0.45">
      <c r="A9" s="47" t="s">
        <v>63</v>
      </c>
      <c r="B9" s="196" t="s">
        <v>39</v>
      </c>
      <c r="C9" s="197"/>
      <c r="D9" s="44"/>
    </row>
    <row r="10" spans="1:4" x14ac:dyDescent="0.45">
      <c r="A10" s="47" t="s">
        <v>64</v>
      </c>
      <c r="B10" s="196" t="s">
        <v>112</v>
      </c>
      <c r="C10" s="197"/>
      <c r="D10" s="44"/>
    </row>
    <row r="11" spans="1:4" x14ac:dyDescent="0.45">
      <c r="A11" s="47" t="s">
        <v>65</v>
      </c>
      <c r="B11" s="196">
        <v>2020</v>
      </c>
      <c r="C11" s="197"/>
      <c r="D11" s="44"/>
    </row>
    <row r="12" spans="1:4" x14ac:dyDescent="0.45">
      <c r="A12" s="47" t="s">
        <v>66</v>
      </c>
      <c r="B12" s="196" t="s">
        <v>38</v>
      </c>
      <c r="C12" s="197"/>
      <c r="D12" s="44"/>
    </row>
    <row r="13" spans="1:4" x14ac:dyDescent="0.45">
      <c r="D13" s="44"/>
    </row>
    <row r="14" spans="1:4" s="39" customFormat="1" ht="13.9" x14ac:dyDescent="0.4">
      <c r="A14" s="41" t="s">
        <v>116</v>
      </c>
      <c r="D14" s="44"/>
    </row>
    <row r="15" spans="1:4" s="39" customFormat="1" ht="13.9" x14ac:dyDescent="0.4">
      <c r="A15" s="48"/>
      <c r="D15" s="44"/>
    </row>
    <row r="16" spans="1:4" s="39" customFormat="1" ht="13.9" x14ac:dyDescent="0.4">
      <c r="A16" s="192" t="s">
        <v>125</v>
      </c>
      <c r="B16" s="193"/>
      <c r="C16" s="193"/>
      <c r="D16" s="193"/>
    </row>
    <row r="17" spans="1:5" s="39" customFormat="1" ht="13.9" x14ac:dyDescent="0.4">
      <c r="A17" s="193"/>
      <c r="B17" s="193"/>
      <c r="C17" s="193"/>
      <c r="D17" s="193"/>
    </row>
    <row r="18" spans="1:5" s="39" customFormat="1" ht="13.9" x14ac:dyDescent="0.4">
      <c r="A18" s="193"/>
      <c r="B18" s="193"/>
      <c r="C18" s="193"/>
      <c r="D18" s="193"/>
    </row>
    <row r="19" spans="1:5" s="39" customFormat="1" ht="13.9" x14ac:dyDescent="0.4">
      <c r="A19" s="193"/>
      <c r="B19" s="193"/>
      <c r="C19" s="193"/>
      <c r="D19" s="193"/>
    </row>
    <row r="20" spans="1:5" s="39" customFormat="1" ht="13.9" x14ac:dyDescent="0.4">
      <c r="A20" s="193"/>
      <c r="B20" s="193"/>
      <c r="C20" s="193"/>
      <c r="D20" s="193"/>
    </row>
    <row r="21" spans="1:5" s="39" customFormat="1" ht="106.35" customHeight="1" x14ac:dyDescent="0.4">
      <c r="A21" s="193"/>
      <c r="B21" s="193"/>
      <c r="C21" s="193"/>
      <c r="D21" s="193"/>
      <c r="E21" s="49"/>
    </row>
    <row r="22" spans="1:5" s="39" customFormat="1" x14ac:dyDescent="0.45">
      <c r="A22" s="42"/>
      <c r="B22" s="42"/>
      <c r="C22" s="42"/>
      <c r="D22" s="42"/>
      <c r="E22" s="49"/>
    </row>
  </sheetData>
  <sheetProtection algorithmName="SHA-512" hashValue="t5w7UahEMlxGML3Qh5prITKtBH87WxOyEno8SqtRM6n5UeVg+OthQ0p5+h+D8zm4q1HdAbknvK7nhrg74XnLzA==" saltValue="QPlDSHW/QP5qDGFKhgcRjg==" spinCount="100000" sheet="1" objects="1" scenarios="1"/>
  <mergeCells count="10">
    <mergeCell ref="B4:C4"/>
    <mergeCell ref="B9:C9"/>
    <mergeCell ref="B8:C8"/>
    <mergeCell ref="B7:C7"/>
    <mergeCell ref="B6:C6"/>
    <mergeCell ref="A16:D21"/>
    <mergeCell ref="B5:C5"/>
    <mergeCell ref="B12:C12"/>
    <mergeCell ref="B11:C11"/>
    <mergeCell ref="B10:C10"/>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4537C-D524-4CD0-8ECC-2EBE14E73721}">
  <sheetPr>
    <tabColor theme="4"/>
  </sheetPr>
  <dimension ref="A1:G20"/>
  <sheetViews>
    <sheetView zoomScale="85" zoomScaleNormal="85" workbookViewId="0">
      <selection activeCell="D16" sqref="D16"/>
    </sheetView>
  </sheetViews>
  <sheetFormatPr baseColWidth="10" defaultColWidth="10.6640625" defaultRowHeight="13.9" x14ac:dyDescent="0.4"/>
  <cols>
    <col min="1" max="1" width="9.59765625" style="39" customWidth="1"/>
    <col min="2" max="2" width="43.06640625" style="39" customWidth="1"/>
    <col min="3" max="3" width="69.59765625" style="39" customWidth="1"/>
    <col min="4" max="4" width="19.6640625" style="39" customWidth="1"/>
    <col min="5" max="5" width="35.3984375" style="39" customWidth="1"/>
    <col min="6" max="6" width="9.6640625" style="39" customWidth="1"/>
    <col min="7" max="7" width="11" style="39" bestFit="1" customWidth="1"/>
    <col min="8" max="8" width="10.6640625" style="39"/>
    <col min="9" max="9" width="27" style="39" customWidth="1"/>
    <col min="10" max="16384" width="10.6640625" style="39"/>
  </cols>
  <sheetData>
    <row r="1" spans="1:7" ht="17.649999999999999" x14ac:dyDescent="0.5">
      <c r="A1" s="50" t="s">
        <v>28</v>
      </c>
      <c r="E1" s="44"/>
      <c r="F1" s="44"/>
    </row>
    <row r="2" spans="1:7" ht="15.4" x14ac:dyDescent="0.45">
      <c r="A2" s="38"/>
      <c r="E2" s="44"/>
      <c r="F2" s="44"/>
    </row>
    <row r="3" spans="1:7" x14ac:dyDescent="0.4">
      <c r="E3" s="51">
        <v>43922</v>
      </c>
    </row>
    <row r="4" spans="1:7" ht="14.2" customHeight="1" x14ac:dyDescent="0.45">
      <c r="A4" s="38" t="s">
        <v>123</v>
      </c>
      <c r="B4" s="52"/>
      <c r="C4" s="44"/>
      <c r="D4" s="53"/>
      <c r="E4" s="54" t="s">
        <v>53</v>
      </c>
    </row>
    <row r="5" spans="1:7" ht="12" customHeight="1" x14ac:dyDescent="0.4">
      <c r="A5" s="55"/>
      <c r="B5" s="56"/>
      <c r="C5" s="56"/>
      <c r="D5" s="57">
        <v>43906</v>
      </c>
    </row>
    <row r="6" spans="1:7" ht="14.25" customHeight="1" x14ac:dyDescent="0.4">
      <c r="B6" s="44"/>
      <c r="C6" s="58" t="s">
        <v>58</v>
      </c>
      <c r="D6" s="78">
        <v>43906</v>
      </c>
      <c r="E6" s="79">
        <v>43908</v>
      </c>
      <c r="F6" s="59"/>
    </row>
    <row r="7" spans="1:7" ht="14.25" customHeight="1" x14ac:dyDescent="0.4">
      <c r="A7" s="205" t="s">
        <v>122</v>
      </c>
      <c r="B7" s="209" t="s">
        <v>44</v>
      </c>
      <c r="C7" s="210"/>
      <c r="D7" s="60" t="s">
        <v>46</v>
      </c>
      <c r="E7" s="61" t="s">
        <v>45</v>
      </c>
    </row>
    <row r="8" spans="1:7" ht="26.25" x14ac:dyDescent="0.4">
      <c r="A8" s="205"/>
      <c r="B8" s="62" t="s">
        <v>67</v>
      </c>
      <c r="C8" s="80" t="s">
        <v>135</v>
      </c>
      <c r="D8" s="63">
        <f ca="1">SUM(INDIRECT("Ausgleichzahlungen!"&amp;F8&amp;(_xlfn.DAYS(D6,D5)+31)&amp;":"&amp;F8&amp;(_xlfn.DAYS(E6,D6)+31),TRUE))</f>
        <v>-21802.404371584693</v>
      </c>
      <c r="E8" s="64" t="s">
        <v>111</v>
      </c>
      <c r="F8" s="65" t="str">
        <f>IF(C8=Ausgleichzahlungen!N30,"N","O")</f>
        <v>O</v>
      </c>
      <c r="G8" s="66"/>
    </row>
    <row r="9" spans="1:7" ht="53.25" customHeight="1" x14ac:dyDescent="0.4">
      <c r="A9" s="205"/>
      <c r="B9" s="62" t="s">
        <v>68</v>
      </c>
      <c r="C9" s="67" t="s">
        <v>117</v>
      </c>
      <c r="D9" s="63">
        <f>IF((_xlfn.DAYS(E6,E3)+1)&lt;0,0,Pflegebudget!B37*(_xlfn.DAYS(E6,E3)+1))-IF(_xlfn.DAYS(D6,E3)+1&gt;0,Pflegebudget!B37*_xlfn.DAYS(D6,E3))</f>
        <v>0</v>
      </c>
      <c r="E9" s="64" t="s">
        <v>118</v>
      </c>
      <c r="F9" s="68"/>
    </row>
    <row r="10" spans="1:7" ht="22.5" customHeight="1" x14ac:dyDescent="0.4">
      <c r="A10" s="206"/>
      <c r="B10" s="201" t="s">
        <v>139</v>
      </c>
      <c r="C10" s="202"/>
      <c r="D10" s="63">
        <f ca="1">D8+D9</f>
        <v>-21802.404371584693</v>
      </c>
      <c r="E10" s="69"/>
      <c r="F10" s="68"/>
    </row>
    <row r="11" spans="1:7" ht="14.25" thickBot="1" x14ac:dyDescent="0.45">
      <c r="A11" s="70"/>
      <c r="B11" s="70"/>
      <c r="C11" s="70"/>
      <c r="D11" s="70"/>
      <c r="E11" s="70"/>
      <c r="F11" s="71"/>
    </row>
    <row r="12" spans="1:7" ht="15.4" x14ac:dyDescent="0.45">
      <c r="A12" s="38" t="s">
        <v>124</v>
      </c>
      <c r="C12" s="49"/>
      <c r="D12" s="49"/>
      <c r="F12" s="68"/>
    </row>
    <row r="13" spans="1:7" x14ac:dyDescent="0.4">
      <c r="A13" s="41"/>
      <c r="C13" s="49"/>
      <c r="D13" s="49"/>
      <c r="F13" s="68"/>
    </row>
    <row r="14" spans="1:7" ht="14.2" customHeight="1" x14ac:dyDescent="0.4">
      <c r="A14" s="203" t="s">
        <v>137</v>
      </c>
      <c r="B14" s="212" t="s">
        <v>44</v>
      </c>
      <c r="C14" s="210"/>
      <c r="D14" s="60" t="s">
        <v>46</v>
      </c>
      <c r="E14" s="61" t="s">
        <v>45</v>
      </c>
      <c r="F14" s="68"/>
    </row>
    <row r="15" spans="1:7" ht="41.95" customHeight="1" x14ac:dyDescent="0.4">
      <c r="A15" s="204"/>
      <c r="B15" s="62" t="s">
        <v>67</v>
      </c>
      <c r="C15" s="80" t="s">
        <v>135</v>
      </c>
      <c r="D15" s="63" t="e">
        <f ca="1">OFFSET(Ausgleichzahlungen!N28,0,'Impact Tool'!F15)</f>
        <v>#VALUE!</v>
      </c>
      <c r="E15" s="72" t="s">
        <v>138</v>
      </c>
      <c r="F15" s="65">
        <f>IF(C15=Ausgleichzahlungen!N30,0,1)</f>
        <v>1</v>
      </c>
    </row>
    <row r="16" spans="1:7" ht="40.35" customHeight="1" x14ac:dyDescent="0.4">
      <c r="A16" s="204"/>
      <c r="B16" s="211" t="s">
        <v>68</v>
      </c>
      <c r="C16" s="73" t="s">
        <v>119</v>
      </c>
      <c r="D16" s="63">
        <f>Pflegebudget!B22-Pflegebudget!B22</f>
        <v>0</v>
      </c>
      <c r="E16" s="74" t="s">
        <v>155</v>
      </c>
    </row>
    <row r="17" spans="1:5" ht="32.1" customHeight="1" x14ac:dyDescent="0.4">
      <c r="A17" s="204"/>
      <c r="B17" s="211"/>
      <c r="C17" s="73" t="s">
        <v>120</v>
      </c>
      <c r="D17" s="63">
        <f>Pflegebudget!C28-Pflegebudget!B28</f>
        <v>-227872.68513934431</v>
      </c>
      <c r="E17" s="207" t="s">
        <v>153</v>
      </c>
    </row>
    <row r="18" spans="1:5" ht="30.75" customHeight="1" x14ac:dyDescent="0.4">
      <c r="A18" s="204"/>
      <c r="B18" s="211"/>
      <c r="C18" s="73" t="s">
        <v>121</v>
      </c>
      <c r="D18" s="63">
        <f ca="1">Pflegebudget!D34-Pflegebudget!B34</f>
        <v>-2269336.7718935953</v>
      </c>
      <c r="E18" s="208"/>
    </row>
    <row r="19" spans="1:5" ht="33.700000000000003" customHeight="1" x14ac:dyDescent="0.4">
      <c r="A19" s="204"/>
      <c r="B19" s="75" t="s">
        <v>61</v>
      </c>
      <c r="C19" s="76"/>
      <c r="D19" s="184"/>
      <c r="E19" s="77" t="s">
        <v>136</v>
      </c>
    </row>
    <row r="20" spans="1:5" ht="18" customHeight="1" x14ac:dyDescent="0.4">
      <c r="A20" s="204"/>
      <c r="B20" s="201" t="s">
        <v>140</v>
      </c>
      <c r="C20" s="202"/>
      <c r="D20" s="63" t="e">
        <f ca="1">D15+D17+D18+D19+D16</f>
        <v>#VALUE!</v>
      </c>
      <c r="E20" s="76"/>
    </row>
  </sheetData>
  <sheetProtection algorithmName="SHA-512" hashValue="BDwUxswWkkmmpnohZbkw8uZoXuFIMUqI52IZeu1mNRzTcYf7a2eX7NBefmfn2OTOGonMeiV+DG60VytDlBdL7Q==" saltValue="hCskTpBzUMYAJKs+QUMvyw==" spinCount="100000" sheet="1" objects="1" scenarios="1"/>
  <mergeCells count="8">
    <mergeCell ref="B20:C20"/>
    <mergeCell ref="A14:A20"/>
    <mergeCell ref="A7:A10"/>
    <mergeCell ref="E17:E18"/>
    <mergeCell ref="B7:C7"/>
    <mergeCell ref="B10:C10"/>
    <mergeCell ref="B16:B18"/>
    <mergeCell ref="B14:C14"/>
  </mergeCells>
  <conditionalFormatting sqref="D10 D8">
    <cfRule type="cellIs" dxfId="14" priority="18" operator="lessThan">
      <formula>0</formula>
    </cfRule>
  </conditionalFormatting>
  <conditionalFormatting sqref="D10 D8">
    <cfRule type="cellIs" dxfId="13" priority="17" operator="greaterThan">
      <formula>0</formula>
    </cfRule>
  </conditionalFormatting>
  <conditionalFormatting sqref="D9">
    <cfRule type="cellIs" dxfId="12" priority="15" operator="lessThan">
      <formula>0</formula>
    </cfRule>
  </conditionalFormatting>
  <conditionalFormatting sqref="D9">
    <cfRule type="cellIs" dxfId="11" priority="14" operator="greaterThan">
      <formula>0</formula>
    </cfRule>
  </conditionalFormatting>
  <conditionalFormatting sqref="D8:D10 E7:E9">
    <cfRule type="colorScale" priority="76">
      <colorScale>
        <cfvo type="num" val="0"/>
        <cfvo type="max"/>
        <color theme="5" tint="0.79998168889431442"/>
        <color rgb="FFADDB7B"/>
      </colorScale>
    </cfRule>
  </conditionalFormatting>
  <conditionalFormatting sqref="E14">
    <cfRule type="colorScale" priority="11">
      <colorScale>
        <cfvo type="num" val="0"/>
        <cfvo type="max"/>
        <color theme="5" tint="0.79998168889431442"/>
        <color rgb="FFADDB7B"/>
      </colorScale>
    </cfRule>
  </conditionalFormatting>
  <conditionalFormatting sqref="E17">
    <cfRule type="colorScale" priority="10">
      <colorScale>
        <cfvo type="num" val="0"/>
        <cfvo type="max"/>
        <color theme="5" tint="0.79998168889431442"/>
        <color rgb="FFADDB7B"/>
      </colorScale>
    </cfRule>
  </conditionalFormatting>
  <conditionalFormatting sqref="D15 D17:D18">
    <cfRule type="cellIs" dxfId="10" priority="8" operator="lessThan">
      <formula>0</formula>
    </cfRule>
  </conditionalFormatting>
  <conditionalFormatting sqref="D15 D17:D18">
    <cfRule type="cellIs" dxfId="9" priority="7" operator="greaterThan">
      <formula>0</formula>
    </cfRule>
  </conditionalFormatting>
  <conditionalFormatting sqref="D16 D19">
    <cfRule type="cellIs" dxfId="8" priority="6" operator="lessThan">
      <formula>0</formula>
    </cfRule>
  </conditionalFormatting>
  <conditionalFormatting sqref="D16 D19">
    <cfRule type="cellIs" dxfId="7" priority="5" operator="greaterThan">
      <formula>0</formula>
    </cfRule>
  </conditionalFormatting>
  <conditionalFormatting sqref="D15:D19">
    <cfRule type="colorScale" priority="9">
      <colorScale>
        <cfvo type="num" val="0"/>
        <cfvo type="max"/>
        <color theme="5" tint="0.79998168889431442"/>
        <color rgb="FFADDB7B"/>
      </colorScale>
    </cfRule>
  </conditionalFormatting>
  <conditionalFormatting sqref="D20">
    <cfRule type="cellIs" dxfId="6" priority="3" operator="lessThan">
      <formula>0</formula>
    </cfRule>
  </conditionalFormatting>
  <conditionalFormatting sqref="D20">
    <cfRule type="cellIs" dxfId="5" priority="2" operator="greaterThan">
      <formula>0</formula>
    </cfRule>
  </conditionalFormatting>
  <conditionalFormatting sqref="D20">
    <cfRule type="colorScale" priority="4">
      <colorScale>
        <cfvo type="num" val="0"/>
        <cfvo type="max"/>
        <color theme="5" tint="0.79998168889431442"/>
        <color rgb="FFADDB7B"/>
      </colorScale>
    </cfRule>
  </conditionalFormatting>
  <conditionalFormatting sqref="E6">
    <cfRule type="expression" dxfId="4" priority="1">
      <formula>_xlfn.DAYS($E$6,$D$6)&lt;0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DA6BBCB-D3DF-4B73-8708-888EB4FADBAA}">
          <x14:formula1>
            <xm:f>Zeitraum!$A$1:$A$291</xm:f>
          </x14:formula1>
          <xm:sqref>D6:E6</xm:sqref>
        </x14:dataValidation>
        <x14:dataValidation type="list" allowBlank="1" showInputMessage="1" showErrorMessage="1" xr:uid="{9D0573E9-FD87-487B-9B0E-9782D465F81D}">
          <x14:formula1>
            <xm:f>Ausgleichzahlungen!$N$30:$O$30</xm:f>
          </x14:formula1>
          <xm:sqref>C8 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EA02-A2B2-4833-9670-E918E370FB86}">
  <dimension ref="A1:S229"/>
  <sheetViews>
    <sheetView tabSelected="1" zoomScale="85" zoomScaleNormal="85" workbookViewId="0">
      <selection activeCell="I4" sqref="I4"/>
    </sheetView>
  </sheetViews>
  <sheetFormatPr baseColWidth="10" defaultColWidth="10.6640625" defaultRowHeight="11.65" x14ac:dyDescent="0.35"/>
  <cols>
    <col min="1" max="1" width="10.46484375" style="81" customWidth="1"/>
    <col min="2" max="2" width="9.6640625" style="81" bestFit="1" customWidth="1"/>
    <col min="3" max="3" width="32.1328125" style="81" customWidth="1"/>
    <col min="4" max="4" width="24.19921875" style="81" customWidth="1"/>
    <col min="5" max="5" width="19.53125" style="81" customWidth="1"/>
    <col min="6" max="6" width="21.53125" style="81" customWidth="1"/>
    <col min="7" max="7" width="20.19921875" style="81" customWidth="1"/>
    <col min="8" max="8" width="14.19921875" style="81" customWidth="1"/>
    <col min="9" max="9" width="20.33203125" style="81" customWidth="1"/>
    <col min="10" max="10" width="26.6640625" style="81" customWidth="1"/>
    <col min="11" max="11" width="20.19921875" style="81" customWidth="1"/>
    <col min="12" max="12" width="25" style="81" customWidth="1"/>
    <col min="13" max="13" width="15.1328125" style="81" customWidth="1"/>
    <col min="14" max="14" width="19.86328125" style="81" customWidth="1"/>
    <col min="15" max="15" width="26.19921875" style="81" customWidth="1"/>
    <col min="16" max="16" width="19.19921875" style="81" bestFit="1" customWidth="1"/>
    <col min="17" max="17" width="27.3984375" style="81" customWidth="1"/>
    <col min="18" max="18" width="17.86328125" style="81" bestFit="1" customWidth="1"/>
    <col min="19" max="19" width="29.1328125" style="81" bestFit="1" customWidth="1"/>
    <col min="20" max="20" width="45" style="81" bestFit="1" customWidth="1"/>
    <col min="21" max="16384" width="10.6640625" style="81"/>
  </cols>
  <sheetData>
    <row r="1" spans="1:17" ht="15.4" x14ac:dyDescent="0.45">
      <c r="A1" s="38" t="s">
        <v>50</v>
      </c>
    </row>
    <row r="2" spans="1:17" ht="13.15" x14ac:dyDescent="0.4">
      <c r="A2" s="130"/>
    </row>
    <row r="3" spans="1:17" ht="14.25" customHeight="1" x14ac:dyDescent="0.35">
      <c r="A3" s="214" t="s">
        <v>54</v>
      </c>
      <c r="B3" s="214"/>
      <c r="C3" s="214"/>
      <c r="D3" s="107"/>
      <c r="E3" s="107"/>
      <c r="F3" s="131"/>
      <c r="G3" s="107"/>
      <c r="H3" s="131"/>
      <c r="I3" s="131"/>
      <c r="J3" s="131"/>
      <c r="K3" s="132" t="s">
        <v>18</v>
      </c>
    </row>
    <row r="4" spans="1:17" ht="25.45" customHeight="1" x14ac:dyDescent="0.35">
      <c r="A4" s="219" t="s">
        <v>126</v>
      </c>
      <c r="B4" s="220"/>
      <c r="C4" s="221"/>
      <c r="D4" s="185">
        <v>100</v>
      </c>
      <c r="E4" s="117"/>
      <c r="F4" s="122" t="s">
        <v>74</v>
      </c>
      <c r="G4" s="123"/>
      <c r="H4" s="124"/>
      <c r="I4" s="189">
        <v>0.1</v>
      </c>
      <c r="J4" s="117"/>
      <c r="K4" s="54" t="s">
        <v>53</v>
      </c>
    </row>
    <row r="5" spans="1:17" ht="27.7" customHeight="1" x14ac:dyDescent="0.35">
      <c r="A5" s="219" t="s">
        <v>127</v>
      </c>
      <c r="B5" s="220"/>
      <c r="C5" s="221"/>
      <c r="D5" s="186">
        <v>20000</v>
      </c>
      <c r="E5" s="117"/>
      <c r="F5" s="122" t="s">
        <v>25</v>
      </c>
      <c r="G5" s="123"/>
      <c r="H5" s="124"/>
      <c r="I5" s="125">
        <v>560</v>
      </c>
      <c r="J5" s="117"/>
      <c r="K5" s="126"/>
    </row>
    <row r="6" spans="1:17" ht="26.1" customHeight="1" x14ac:dyDescent="0.35">
      <c r="A6" s="222" t="s">
        <v>128</v>
      </c>
      <c r="B6" s="223"/>
      <c r="C6" s="224"/>
      <c r="D6" s="185">
        <v>50</v>
      </c>
      <c r="E6" s="117"/>
      <c r="F6" s="122" t="s">
        <v>24</v>
      </c>
      <c r="G6" s="123"/>
      <c r="H6" s="124"/>
      <c r="I6" s="127">
        <v>366</v>
      </c>
      <c r="J6" s="117"/>
      <c r="K6" s="117"/>
      <c r="L6" s="128"/>
    </row>
    <row r="7" spans="1:17" ht="27" customHeight="1" x14ac:dyDescent="0.35">
      <c r="A7" s="219" t="s">
        <v>129</v>
      </c>
      <c r="B7" s="220"/>
      <c r="C7" s="221"/>
      <c r="D7" s="186">
        <v>5000</v>
      </c>
      <c r="E7" s="117"/>
      <c r="F7" s="122" t="s">
        <v>42</v>
      </c>
      <c r="G7" s="123"/>
      <c r="H7" s="124"/>
      <c r="I7" s="129">
        <v>198</v>
      </c>
      <c r="J7" s="117"/>
      <c r="K7" s="117"/>
      <c r="L7" s="128"/>
    </row>
    <row r="8" spans="1:17" ht="11.85" customHeight="1" x14ac:dyDescent="0.35">
      <c r="A8" s="222" t="s">
        <v>130</v>
      </c>
      <c r="B8" s="223"/>
      <c r="C8" s="224"/>
      <c r="D8" s="185">
        <v>20</v>
      </c>
      <c r="E8" s="116"/>
      <c r="J8" s="117"/>
      <c r="K8" s="117"/>
    </row>
    <row r="9" spans="1:17" ht="11.85" customHeight="1" x14ac:dyDescent="0.35">
      <c r="A9" s="219" t="s">
        <v>131</v>
      </c>
      <c r="B9" s="220"/>
      <c r="C9" s="221"/>
      <c r="D9" s="186">
        <v>4000</v>
      </c>
      <c r="E9" s="116"/>
      <c r="J9" s="117"/>
      <c r="K9" s="117"/>
    </row>
    <row r="10" spans="1:17" x14ac:dyDescent="0.35">
      <c r="E10" s="116"/>
      <c r="F10" s="117"/>
      <c r="G10" s="117"/>
      <c r="H10" s="117"/>
      <c r="I10" s="117"/>
      <c r="J10" s="117"/>
      <c r="K10" s="117"/>
    </row>
    <row r="11" spans="1:17" s="88" customFormat="1" ht="16.5" customHeight="1" x14ac:dyDescent="0.45">
      <c r="A11" s="215" t="s">
        <v>48</v>
      </c>
      <c r="B11" s="215"/>
      <c r="C11" s="215"/>
      <c r="D11" s="118"/>
      <c r="E11" s="118"/>
      <c r="F11" s="118"/>
      <c r="G11" s="118"/>
      <c r="H11" s="106"/>
      <c r="I11" s="106"/>
      <c r="J11" s="106"/>
      <c r="K11" s="106"/>
      <c r="L11" s="106"/>
      <c r="M11" s="106"/>
      <c r="N11" s="106"/>
      <c r="O11" s="106"/>
      <c r="P11" s="106"/>
      <c r="Q11" s="106"/>
    </row>
    <row r="12" spans="1:17" s="88" customFormat="1" ht="14.25" customHeight="1" x14ac:dyDescent="0.45">
      <c r="A12" s="216" t="s">
        <v>32</v>
      </c>
      <c r="B12" s="216"/>
      <c r="C12" s="216"/>
      <c r="D12" s="133" t="s">
        <v>49</v>
      </c>
      <c r="F12" s="119" t="s">
        <v>21</v>
      </c>
    </row>
    <row r="13" spans="1:17" s="88" customFormat="1" ht="13.9" x14ac:dyDescent="0.45">
      <c r="D13" s="120">
        <f>IF(D12="Erlöse in EUR",0,5)</f>
        <v>0</v>
      </c>
      <c r="F13" s="231" t="s">
        <v>23</v>
      </c>
      <c r="G13" s="231"/>
      <c r="H13" s="231"/>
      <c r="I13" s="136">
        <v>12500</v>
      </c>
    </row>
    <row r="14" spans="1:17" s="88" customFormat="1" ht="14.25" customHeight="1" x14ac:dyDescent="0.45">
      <c r="A14" s="121" t="s">
        <v>20</v>
      </c>
      <c r="B14" s="121"/>
      <c r="C14" s="121"/>
      <c r="F14" s="231" t="s">
        <v>22</v>
      </c>
      <c r="G14" s="231"/>
      <c r="H14" s="231"/>
      <c r="I14" s="137" t="s">
        <v>4</v>
      </c>
    </row>
    <row r="15" spans="1:17" s="88" customFormat="1" ht="24" customHeight="1" x14ac:dyDescent="0.45">
      <c r="A15" s="217" t="s">
        <v>52</v>
      </c>
      <c r="B15" s="217"/>
      <c r="C15" s="217"/>
      <c r="D15" s="187">
        <v>42300000</v>
      </c>
      <c r="F15" s="231" t="s">
        <v>145</v>
      </c>
      <c r="G15" s="231"/>
      <c r="H15" s="231"/>
      <c r="I15" s="115">
        <f>VLOOKUP($I$14,LBFW!$A$3:$B$18,2,FALSE)*$I$13</f>
        <v>45880625</v>
      </c>
    </row>
    <row r="16" spans="1:17" s="88" customFormat="1" ht="14.25" customHeight="1" x14ac:dyDescent="0.45">
      <c r="A16" s="218" t="s">
        <v>144</v>
      </c>
      <c r="B16" s="218"/>
      <c r="C16" s="218"/>
      <c r="D16" s="188">
        <v>1800000</v>
      </c>
      <c r="F16" s="218" t="s">
        <v>144</v>
      </c>
      <c r="G16" s="218"/>
      <c r="H16" s="218"/>
      <c r="I16" s="138">
        <v>1100000</v>
      </c>
    </row>
    <row r="17" spans="1:19" s="88" customFormat="1" ht="14.25" customHeight="1" x14ac:dyDescent="0.45">
      <c r="A17" s="218" t="s">
        <v>141</v>
      </c>
      <c r="B17" s="218"/>
      <c r="C17" s="218"/>
      <c r="D17" s="188">
        <v>1250000</v>
      </c>
      <c r="F17" s="218" t="s">
        <v>141</v>
      </c>
      <c r="G17" s="218"/>
      <c r="H17" s="218"/>
      <c r="I17" s="138">
        <v>800000</v>
      </c>
    </row>
    <row r="18" spans="1:19" s="88" customFormat="1" ht="14.25" customHeight="1" x14ac:dyDescent="0.45">
      <c r="A18" s="232" t="s">
        <v>142</v>
      </c>
      <c r="B18" s="232"/>
      <c r="C18" s="232"/>
      <c r="D18" s="188">
        <v>375000</v>
      </c>
      <c r="F18" s="232" t="s">
        <v>142</v>
      </c>
      <c r="G18" s="232"/>
      <c r="H18" s="232"/>
      <c r="I18" s="139">
        <v>300000</v>
      </c>
    </row>
    <row r="19" spans="1:19" s="88" customFormat="1" ht="14.25" customHeight="1" x14ac:dyDescent="0.45">
      <c r="A19" s="232" t="s">
        <v>143</v>
      </c>
      <c r="B19" s="232"/>
      <c r="C19" s="232"/>
      <c r="D19" s="188">
        <v>800000</v>
      </c>
      <c r="F19" s="232" t="s">
        <v>143</v>
      </c>
      <c r="G19" s="232"/>
      <c r="H19" s="232"/>
      <c r="I19" s="139">
        <v>600000</v>
      </c>
    </row>
    <row r="20" spans="1:19" s="88" customFormat="1" ht="14.25" customHeight="1" x14ac:dyDescent="0.45">
      <c r="A20" s="213" t="s">
        <v>19</v>
      </c>
      <c r="B20" s="213"/>
      <c r="C20" s="213"/>
      <c r="D20" s="87">
        <f>SUM(D15:D19)</f>
        <v>46525000</v>
      </c>
      <c r="F20" s="213" t="s">
        <v>19</v>
      </c>
      <c r="G20" s="213"/>
      <c r="H20" s="213"/>
      <c r="I20" s="89">
        <f>SUM(I15:I19)</f>
        <v>48680625</v>
      </c>
      <c r="K20" s="90"/>
    </row>
    <row r="21" spans="1:19" s="88" customFormat="1" ht="14.25" customHeight="1" x14ac:dyDescent="0.45">
      <c r="A21" s="91"/>
      <c r="B21" s="91"/>
      <c r="C21" s="91"/>
      <c r="D21" s="92"/>
      <c r="F21" s="93"/>
      <c r="G21" s="94"/>
    </row>
    <row r="22" spans="1:19" s="88" customFormat="1" ht="14.25" customHeight="1" x14ac:dyDescent="0.45">
      <c r="A22" s="234" t="s">
        <v>113</v>
      </c>
      <c r="B22" s="235"/>
      <c r="C22" s="236"/>
      <c r="D22" s="95">
        <f ca="1">OFFSET($D$15,0,$D$13)/$I$6</f>
        <v>115573.77049180328</v>
      </c>
      <c r="F22" s="93"/>
      <c r="G22" s="94"/>
      <c r="I22" s="96"/>
    </row>
    <row r="23" spans="1:19" s="88" customFormat="1" ht="36" customHeight="1" x14ac:dyDescent="0.45">
      <c r="A23" s="237" t="s">
        <v>114</v>
      </c>
      <c r="B23" s="238"/>
      <c r="C23" s="239"/>
      <c r="D23" s="97">
        <f ca="1">OFFSET($D$20,0,$D$13)/$I$6</f>
        <v>127117.48633879781</v>
      </c>
      <c r="E23" s="98"/>
      <c r="F23" s="93"/>
      <c r="G23" s="94"/>
      <c r="H23" s="99"/>
      <c r="I23" s="98"/>
      <c r="J23" s="98"/>
      <c r="K23" s="98"/>
      <c r="L23" s="98"/>
      <c r="M23" s="98"/>
      <c r="N23" s="98"/>
      <c r="O23" s="98"/>
      <c r="P23" s="98"/>
      <c r="Q23" s="98"/>
      <c r="R23" s="98"/>
      <c r="S23" s="98"/>
    </row>
    <row r="24" spans="1:19" s="88" customFormat="1" ht="14.25" customHeight="1" thickBot="1" x14ac:dyDescent="0.5">
      <c r="A24" s="100"/>
      <c r="B24" s="100"/>
      <c r="C24" s="100"/>
      <c r="D24" s="101"/>
      <c r="E24" s="102"/>
      <c r="F24" s="103"/>
      <c r="G24" s="104"/>
      <c r="H24" s="102"/>
      <c r="I24" s="102"/>
      <c r="J24" s="102"/>
      <c r="K24" s="102"/>
      <c r="L24" s="102"/>
      <c r="M24" s="102"/>
      <c r="N24" s="102"/>
      <c r="O24" s="102"/>
      <c r="P24" s="102"/>
      <c r="Q24" s="102"/>
    </row>
    <row r="25" spans="1:19" s="88" customFormat="1" ht="17.25" customHeight="1" x14ac:dyDescent="0.45">
      <c r="A25" s="233" t="s">
        <v>69</v>
      </c>
      <c r="B25" s="233"/>
      <c r="C25" s="233"/>
      <c r="D25" s="233"/>
      <c r="E25" s="233"/>
      <c r="F25" s="233"/>
      <c r="G25" s="105"/>
      <c r="H25" s="105"/>
      <c r="I25" s="105"/>
      <c r="J25" s="105"/>
      <c r="K25" s="105"/>
      <c r="L25" s="106"/>
      <c r="M25" s="106"/>
      <c r="N25" s="106"/>
      <c r="O25" s="107"/>
      <c r="P25" s="107"/>
      <c r="Q25" s="107"/>
    </row>
    <row r="26" spans="1:19" s="88" customFormat="1" ht="13.9" x14ac:dyDescent="0.45"/>
    <row r="27" spans="1:19" x14ac:dyDescent="0.35">
      <c r="A27" s="108" t="s">
        <v>18</v>
      </c>
    </row>
    <row r="28" spans="1:19" ht="19.350000000000001" customHeight="1" x14ac:dyDescent="0.35">
      <c r="A28" s="135" t="s">
        <v>157</v>
      </c>
      <c r="J28" s="109"/>
      <c r="N28" s="140" t="e">
        <f ca="1">SUM(N31:N229)</f>
        <v>#VALUE!</v>
      </c>
      <c r="O28" s="140" t="e">
        <f ca="1">SUM(O31:O229)</f>
        <v>#VALUE!</v>
      </c>
    </row>
    <row r="29" spans="1:19" ht="21.75" customHeight="1" x14ac:dyDescent="0.35">
      <c r="A29" s="228" t="s">
        <v>146</v>
      </c>
      <c r="B29" s="229"/>
      <c r="C29" s="229"/>
      <c r="D29" s="229"/>
      <c r="E29" s="229"/>
      <c r="F29" s="229"/>
      <c r="G29" s="229"/>
      <c r="H29" s="230"/>
      <c r="I29" s="225" t="s">
        <v>73</v>
      </c>
      <c r="J29" s="226"/>
      <c r="K29" s="226"/>
      <c r="L29" s="226"/>
      <c r="M29" s="226"/>
      <c r="N29" s="226"/>
      <c r="O29" s="227"/>
    </row>
    <row r="30" spans="1:19" ht="94.8" customHeight="1" x14ac:dyDescent="0.35">
      <c r="A30" s="110" t="s">
        <v>47</v>
      </c>
      <c r="B30" s="111" t="s">
        <v>156</v>
      </c>
      <c r="C30" s="112" t="s">
        <v>132</v>
      </c>
      <c r="D30" s="112" t="s">
        <v>57</v>
      </c>
      <c r="E30" s="112" t="s">
        <v>71</v>
      </c>
      <c r="F30" s="112" t="s">
        <v>51</v>
      </c>
      <c r="G30" s="113" t="s">
        <v>72</v>
      </c>
      <c r="H30" s="113" t="s">
        <v>51</v>
      </c>
      <c r="I30" s="114" t="s">
        <v>115</v>
      </c>
      <c r="J30" s="114" t="s">
        <v>55</v>
      </c>
      <c r="K30" s="114" t="s">
        <v>43</v>
      </c>
      <c r="L30" s="114" t="s">
        <v>56</v>
      </c>
      <c r="M30" s="114" t="s">
        <v>133</v>
      </c>
      <c r="N30" s="114" t="s">
        <v>134</v>
      </c>
      <c r="O30" s="114" t="s">
        <v>135</v>
      </c>
    </row>
    <row r="31" spans="1:19" ht="12" customHeight="1" x14ac:dyDescent="0.35">
      <c r="A31" s="47">
        <v>12</v>
      </c>
      <c r="B31" s="86">
        <v>43906</v>
      </c>
      <c r="C31" s="134">
        <v>70</v>
      </c>
      <c r="D31" s="82">
        <f>-IFERROR((C31-$D$4)/$D$4,0)</f>
        <v>0.3</v>
      </c>
      <c r="E31" s="134">
        <v>10</v>
      </c>
      <c r="F31" s="82">
        <f>-IFERROR((E31-$D$6)/$D$6,0)</f>
        <v>0.8</v>
      </c>
      <c r="G31" s="134">
        <v>10</v>
      </c>
      <c r="H31" s="82">
        <f>-IFERROR((G31-$D$8)/$D$8,0)</f>
        <v>0.5</v>
      </c>
      <c r="I31" s="83">
        <f ca="1">$D$22*(1-$D31)</f>
        <v>80901.639344262294</v>
      </c>
      <c r="J31" s="83">
        <f t="shared" ref="J31:J62" si="0">(($D$15+$D$16)*(1-D31)+($D$17*(1-$I$4))+($D$18*(1-F31))+($D$19*(1-H31)))/$I$6</f>
        <v>88715.846994535503</v>
      </c>
      <c r="K31" s="84">
        <f ca="1">$I31-$D$22</f>
        <v>-34672.131147540989</v>
      </c>
      <c r="L31" s="84">
        <f t="shared" ref="L31:L62" ca="1" si="1">$J31-$D$23</f>
        <v>-38401.639344262308</v>
      </c>
      <c r="M31" s="83">
        <f>(($D$4-C31)+($D$6-E31)+($D$8-G31))*$I$5</f>
        <v>44800</v>
      </c>
      <c r="N31" s="85">
        <f ca="1">$M31+$K31</f>
        <v>10127.868852459011</v>
      </c>
      <c r="O31" s="85">
        <f ca="1">$M31+$L31</f>
        <v>6398.3606557376916</v>
      </c>
    </row>
    <row r="32" spans="1:19" ht="12" customHeight="1" x14ac:dyDescent="0.35">
      <c r="A32" s="47">
        <v>12</v>
      </c>
      <c r="B32" s="86">
        <v>43907</v>
      </c>
      <c r="C32" s="134">
        <v>50</v>
      </c>
      <c r="D32" s="82">
        <f t="shared" ref="D32:D62" si="2">-IFERROR((C32-$D$4)/$D$4,0)</f>
        <v>0.5</v>
      </c>
      <c r="E32" s="134">
        <v>40</v>
      </c>
      <c r="F32" s="82">
        <f t="shared" ref="F32:F95" si="3">-IFERROR((E32-$D$6)/$D$6,0)</f>
        <v>0.2</v>
      </c>
      <c r="G32" s="134">
        <v>5</v>
      </c>
      <c r="H32" s="82">
        <f t="shared" ref="H32:H95" si="4">-IFERROR((G32-$D$8)/$D$8,0)</f>
        <v>0.75</v>
      </c>
      <c r="I32" s="83">
        <f t="shared" ref="I32:I95" ca="1" si="5">$D$22*(1-$D32)</f>
        <v>57786.885245901642</v>
      </c>
      <c r="J32" s="83">
        <f t="shared" si="0"/>
        <v>64685.792349726777</v>
      </c>
      <c r="K32" s="84">
        <f t="shared" ref="K32:K95" ca="1" si="6">$I32-$D$22</f>
        <v>-57786.885245901642</v>
      </c>
      <c r="L32" s="84">
        <f t="shared" ca="1" si="1"/>
        <v>-62431.693989071035</v>
      </c>
      <c r="M32" s="83">
        <f t="shared" ref="M32:M95" si="7">(($D$4-C32)+($D$6-E32)+($D$8-G32))*$I$5</f>
        <v>42000</v>
      </c>
      <c r="N32" s="85">
        <f ca="1">$M32+$K32</f>
        <v>-15786.885245901642</v>
      </c>
      <c r="O32" s="85">
        <f t="shared" ref="O32:O87" ca="1" si="8">$M32+$L32</f>
        <v>-20431.693989071035</v>
      </c>
    </row>
    <row r="33" spans="1:15" ht="12" customHeight="1" x14ac:dyDescent="0.35">
      <c r="A33" s="47">
        <v>12</v>
      </c>
      <c r="B33" s="86">
        <v>43908</v>
      </c>
      <c r="C33" s="134">
        <v>55</v>
      </c>
      <c r="D33" s="82">
        <f t="shared" si="2"/>
        <v>0.45</v>
      </c>
      <c r="E33" s="134">
        <v>20</v>
      </c>
      <c r="F33" s="82">
        <f t="shared" si="3"/>
        <v>0.6</v>
      </c>
      <c r="G33" s="134">
        <v>8</v>
      </c>
      <c r="H33" s="82">
        <f t="shared" si="4"/>
        <v>0.6</v>
      </c>
      <c r="I33" s="83">
        <f t="shared" ca="1" si="5"/>
        <v>63565.573770491814</v>
      </c>
      <c r="J33" s="83">
        <f t="shared" si="0"/>
        <v>70628.415300546461</v>
      </c>
      <c r="K33" s="84">
        <f t="shared" ca="1" si="6"/>
        <v>-52008.196721311469</v>
      </c>
      <c r="L33" s="84">
        <f t="shared" ca="1" si="1"/>
        <v>-56489.07103825135</v>
      </c>
      <c r="M33" s="83">
        <f t="shared" si="7"/>
        <v>48720</v>
      </c>
      <c r="N33" s="85">
        <f t="shared" ref="N33:N87" ca="1" si="9">$M33+$K33</f>
        <v>-3288.1967213114694</v>
      </c>
      <c r="O33" s="85">
        <f t="shared" ca="1" si="8"/>
        <v>-7769.0710382513498</v>
      </c>
    </row>
    <row r="34" spans="1:15" ht="12" customHeight="1" x14ac:dyDescent="0.35">
      <c r="A34" s="47">
        <v>12</v>
      </c>
      <c r="B34" s="86">
        <v>43909</v>
      </c>
      <c r="C34" s="134">
        <v>37</v>
      </c>
      <c r="D34" s="82">
        <f t="shared" si="2"/>
        <v>0.63</v>
      </c>
      <c r="E34" s="134">
        <v>21</v>
      </c>
      <c r="F34" s="82">
        <f t="shared" si="3"/>
        <v>0.57999999999999996</v>
      </c>
      <c r="G34" s="134">
        <v>3</v>
      </c>
      <c r="H34" s="82">
        <f t="shared" si="4"/>
        <v>0.85</v>
      </c>
      <c r="I34" s="83">
        <f t="shared" ca="1" si="5"/>
        <v>42762.295081967211</v>
      </c>
      <c r="J34" s="83">
        <f t="shared" si="0"/>
        <v>48413.934426229505</v>
      </c>
      <c r="K34" s="84">
        <f t="shared" ca="1" si="6"/>
        <v>-72811.475409836072</v>
      </c>
      <c r="L34" s="84">
        <f t="shared" ca="1" si="1"/>
        <v>-78703.551912568306</v>
      </c>
      <c r="M34" s="83">
        <f t="shared" si="7"/>
        <v>61040</v>
      </c>
      <c r="N34" s="85">
        <f t="shared" ca="1" si="9"/>
        <v>-11771.475409836072</v>
      </c>
      <c r="O34" s="85">
        <f t="shared" ca="1" si="8"/>
        <v>-17663.551912568306</v>
      </c>
    </row>
    <row r="35" spans="1:15" ht="12" customHeight="1" x14ac:dyDescent="0.35">
      <c r="A35" s="47">
        <v>12</v>
      </c>
      <c r="B35" s="86">
        <v>43910</v>
      </c>
      <c r="C35" s="134">
        <v>48</v>
      </c>
      <c r="D35" s="82">
        <f>-IFERROR((C35-$D$4)/$D$4,0)</f>
        <v>0.52</v>
      </c>
      <c r="E35" s="134">
        <v>12</v>
      </c>
      <c r="F35" s="82">
        <f t="shared" si="3"/>
        <v>0.76</v>
      </c>
      <c r="G35" s="134">
        <v>2</v>
      </c>
      <c r="H35" s="82">
        <f t="shared" si="4"/>
        <v>0.9</v>
      </c>
      <c r="I35" s="83">
        <f t="shared" ca="1" si="5"/>
        <v>55475.409836065577</v>
      </c>
      <c r="J35" s="83">
        <f t="shared" si="0"/>
        <v>61374.316939890712</v>
      </c>
      <c r="K35" s="84">
        <f t="shared" ca="1" si="6"/>
        <v>-60098.360655737706</v>
      </c>
      <c r="L35" s="84">
        <f t="shared" ca="1" si="1"/>
        <v>-65743.169398907106</v>
      </c>
      <c r="M35" s="83">
        <f t="shared" si="7"/>
        <v>60480</v>
      </c>
      <c r="N35" s="85">
        <f t="shared" ca="1" si="9"/>
        <v>381.63934426229389</v>
      </c>
      <c r="O35" s="85">
        <f t="shared" ca="1" si="8"/>
        <v>-5263.1693989071064</v>
      </c>
    </row>
    <row r="36" spans="1:15" ht="12" customHeight="1" x14ac:dyDescent="0.35">
      <c r="A36" s="47">
        <v>12</v>
      </c>
      <c r="B36" s="86">
        <v>43911</v>
      </c>
      <c r="C36" s="134">
        <v>67</v>
      </c>
      <c r="D36" s="82">
        <f t="shared" si="2"/>
        <v>0.33</v>
      </c>
      <c r="E36" s="134">
        <v>22</v>
      </c>
      <c r="F36" s="82">
        <f t="shared" si="3"/>
        <v>0.56000000000000005</v>
      </c>
      <c r="G36" s="134">
        <v>1</v>
      </c>
      <c r="H36" s="82">
        <f t="shared" si="4"/>
        <v>0.95</v>
      </c>
      <c r="I36" s="83">
        <f t="shared" ca="1" si="5"/>
        <v>77434.426229508186</v>
      </c>
      <c r="J36" s="83">
        <f t="shared" si="0"/>
        <v>84363.387978142069</v>
      </c>
      <c r="K36" s="84">
        <f t="shared" ca="1" si="6"/>
        <v>-38139.344262295097</v>
      </c>
      <c r="L36" s="84">
        <f t="shared" ca="1" si="1"/>
        <v>-42754.098360655742</v>
      </c>
      <c r="M36" s="83">
        <f t="shared" si="7"/>
        <v>44800</v>
      </c>
      <c r="N36" s="85">
        <f t="shared" ca="1" si="9"/>
        <v>6660.655737704903</v>
      </c>
      <c r="O36" s="85">
        <f t="shared" ca="1" si="8"/>
        <v>2045.901639344258</v>
      </c>
    </row>
    <row r="37" spans="1:15" x14ac:dyDescent="0.35">
      <c r="A37" s="47">
        <v>12</v>
      </c>
      <c r="B37" s="86">
        <v>43912</v>
      </c>
      <c r="C37" s="134">
        <v>48</v>
      </c>
      <c r="D37" s="82">
        <f t="shared" si="2"/>
        <v>0.52</v>
      </c>
      <c r="E37" s="134">
        <v>40</v>
      </c>
      <c r="F37" s="82">
        <f t="shared" si="3"/>
        <v>0.2</v>
      </c>
      <c r="G37" s="134">
        <v>9</v>
      </c>
      <c r="H37" s="82">
        <f t="shared" si="4"/>
        <v>0.55000000000000004</v>
      </c>
      <c r="I37" s="83">
        <f t="shared" ca="1" si="5"/>
        <v>55475.409836065577</v>
      </c>
      <c r="J37" s="83">
        <f t="shared" si="0"/>
        <v>62713.114754098358</v>
      </c>
      <c r="K37" s="84">
        <f t="shared" ca="1" si="6"/>
        <v>-60098.360655737706</v>
      </c>
      <c r="L37" s="84">
        <f t="shared" ca="1" si="1"/>
        <v>-64404.371584699453</v>
      </c>
      <c r="M37" s="83">
        <f t="shared" si="7"/>
        <v>40880</v>
      </c>
      <c r="N37" s="85">
        <f t="shared" ca="1" si="9"/>
        <v>-19218.360655737706</v>
      </c>
      <c r="O37" s="85">
        <f t="shared" ca="1" si="8"/>
        <v>-23524.371584699453</v>
      </c>
    </row>
    <row r="38" spans="1:15" x14ac:dyDescent="0.35">
      <c r="A38" s="47">
        <v>13</v>
      </c>
      <c r="B38" s="86">
        <v>43913</v>
      </c>
      <c r="C38" s="134">
        <v>28</v>
      </c>
      <c r="D38" s="82">
        <f t="shared" si="2"/>
        <v>0.72</v>
      </c>
      <c r="E38" s="134">
        <v>30</v>
      </c>
      <c r="F38" s="82">
        <f t="shared" si="3"/>
        <v>0.4</v>
      </c>
      <c r="G38" s="134">
        <v>10</v>
      </c>
      <c r="H38" s="82">
        <f t="shared" si="4"/>
        <v>0.5</v>
      </c>
      <c r="I38" s="83">
        <f t="shared" ca="1" si="5"/>
        <v>32360.655737704921</v>
      </c>
      <c r="J38" s="83">
        <f t="shared" si="0"/>
        <v>38519.125683060112</v>
      </c>
      <c r="K38" s="84">
        <f t="shared" ca="1" si="6"/>
        <v>-83213.114754098366</v>
      </c>
      <c r="L38" s="84">
        <f t="shared" ca="1" si="1"/>
        <v>-88598.360655737692</v>
      </c>
      <c r="M38" s="83">
        <f t="shared" si="7"/>
        <v>57120</v>
      </c>
      <c r="N38" s="85">
        <f t="shared" ca="1" si="9"/>
        <v>-26093.114754098366</v>
      </c>
      <c r="O38" s="85">
        <f t="shared" ca="1" si="8"/>
        <v>-31478.360655737692</v>
      </c>
    </row>
    <row r="39" spans="1:15" x14ac:dyDescent="0.35">
      <c r="A39" s="47">
        <v>13</v>
      </c>
      <c r="B39" s="86">
        <v>43914</v>
      </c>
      <c r="C39" s="134">
        <v>42</v>
      </c>
      <c r="D39" s="82">
        <f t="shared" si="2"/>
        <v>0.57999999999999996</v>
      </c>
      <c r="E39" s="134">
        <v>32</v>
      </c>
      <c r="F39" s="82">
        <f t="shared" si="3"/>
        <v>0.36</v>
      </c>
      <c r="G39" s="134">
        <v>11</v>
      </c>
      <c r="H39" s="82">
        <f t="shared" si="4"/>
        <v>0.45</v>
      </c>
      <c r="I39" s="83">
        <f t="shared" ca="1" si="5"/>
        <v>48540.983606557384</v>
      </c>
      <c r="J39" s="83">
        <f t="shared" si="0"/>
        <v>55538.251366120217</v>
      </c>
      <c r="K39" s="84">
        <f t="shared" ca="1" si="6"/>
        <v>-67032.786885245907</v>
      </c>
      <c r="L39" s="84">
        <f t="shared" ca="1" si="1"/>
        <v>-71579.234972677601</v>
      </c>
      <c r="M39" s="83">
        <f t="shared" si="7"/>
        <v>47600</v>
      </c>
      <c r="N39" s="85">
        <f t="shared" ca="1" si="9"/>
        <v>-19432.786885245907</v>
      </c>
      <c r="O39" s="85">
        <f t="shared" ca="1" si="8"/>
        <v>-23979.234972677601</v>
      </c>
    </row>
    <row r="40" spans="1:15" x14ac:dyDescent="0.35">
      <c r="A40" s="47">
        <v>13</v>
      </c>
      <c r="B40" s="86">
        <v>43915</v>
      </c>
      <c r="C40" s="134">
        <v>60</v>
      </c>
      <c r="D40" s="82">
        <f t="shared" si="2"/>
        <v>0.4</v>
      </c>
      <c r="E40" s="134">
        <v>34</v>
      </c>
      <c r="F40" s="82">
        <f t="shared" si="3"/>
        <v>0.32</v>
      </c>
      <c r="G40" s="134">
        <v>12</v>
      </c>
      <c r="H40" s="82">
        <f t="shared" si="4"/>
        <v>0.4</v>
      </c>
      <c r="I40" s="83">
        <f t="shared" ca="1" si="5"/>
        <v>69344.262295081964</v>
      </c>
      <c r="J40" s="83">
        <f t="shared" si="0"/>
        <v>77377.049180327871</v>
      </c>
      <c r="K40" s="84">
        <f t="shared" ca="1" si="6"/>
        <v>-46229.508196721319</v>
      </c>
      <c r="L40" s="84">
        <f t="shared" ca="1" si="1"/>
        <v>-49740.43715846994</v>
      </c>
      <c r="M40" s="83">
        <f t="shared" si="7"/>
        <v>35840</v>
      </c>
      <c r="N40" s="85">
        <f t="shared" ca="1" si="9"/>
        <v>-10389.508196721319</v>
      </c>
      <c r="O40" s="85">
        <f t="shared" ca="1" si="8"/>
        <v>-13900.43715846994</v>
      </c>
    </row>
    <row r="41" spans="1:15" x14ac:dyDescent="0.35">
      <c r="A41" s="47">
        <v>13</v>
      </c>
      <c r="B41" s="86">
        <v>43916</v>
      </c>
      <c r="C41" s="134">
        <v>66</v>
      </c>
      <c r="D41" s="82">
        <f t="shared" si="2"/>
        <v>0.34</v>
      </c>
      <c r="E41" s="134">
        <v>15</v>
      </c>
      <c r="F41" s="82">
        <f t="shared" si="3"/>
        <v>0.7</v>
      </c>
      <c r="G41" s="134">
        <v>5</v>
      </c>
      <c r="H41" s="82">
        <f t="shared" si="4"/>
        <v>0.75</v>
      </c>
      <c r="I41" s="83">
        <f t="shared" ca="1" si="5"/>
        <v>76278.688524590165</v>
      </c>
      <c r="J41" s="83">
        <f t="shared" si="0"/>
        <v>83452.185792349715</v>
      </c>
      <c r="K41" s="84">
        <f t="shared" ca="1" si="6"/>
        <v>-39295.081967213118</v>
      </c>
      <c r="L41" s="84">
        <f t="shared" ca="1" si="1"/>
        <v>-43665.300546448096</v>
      </c>
      <c r="M41" s="83">
        <f t="shared" si="7"/>
        <v>47040</v>
      </c>
      <c r="N41" s="85">
        <f t="shared" ca="1" si="9"/>
        <v>7744.9180327868817</v>
      </c>
      <c r="O41" s="85">
        <f t="shared" ca="1" si="8"/>
        <v>3374.6994535519043</v>
      </c>
    </row>
    <row r="42" spans="1:15" x14ac:dyDescent="0.35">
      <c r="A42" s="47">
        <v>13</v>
      </c>
      <c r="B42" s="86">
        <v>43917</v>
      </c>
      <c r="C42" s="134">
        <v>59</v>
      </c>
      <c r="D42" s="82">
        <f t="shared" si="2"/>
        <v>0.41</v>
      </c>
      <c r="E42" s="134">
        <v>10</v>
      </c>
      <c r="F42" s="82">
        <f t="shared" si="3"/>
        <v>0.8</v>
      </c>
      <c r="G42" s="134">
        <v>6</v>
      </c>
      <c r="H42" s="82">
        <f t="shared" si="4"/>
        <v>0.7</v>
      </c>
      <c r="I42" s="83">
        <f t="shared" ca="1" si="5"/>
        <v>68188.524590163943</v>
      </c>
      <c r="J42" s="83">
        <f t="shared" si="0"/>
        <v>75024.590163934437</v>
      </c>
      <c r="K42" s="84">
        <f t="shared" ca="1" si="6"/>
        <v>-47385.24590163934</v>
      </c>
      <c r="L42" s="84">
        <f t="shared" ca="1" si="1"/>
        <v>-52092.896174863374</v>
      </c>
      <c r="M42" s="83">
        <f t="shared" si="7"/>
        <v>53200</v>
      </c>
      <c r="N42" s="85">
        <f t="shared" ca="1" si="9"/>
        <v>5814.7540983606596</v>
      </c>
      <c r="O42" s="85">
        <f t="shared" ca="1" si="8"/>
        <v>1107.1038251366263</v>
      </c>
    </row>
    <row r="43" spans="1:15" x14ac:dyDescent="0.35">
      <c r="A43" s="47">
        <v>13</v>
      </c>
      <c r="B43" s="86">
        <v>43918</v>
      </c>
      <c r="C43" s="134">
        <v>60</v>
      </c>
      <c r="D43" s="82">
        <f t="shared" si="2"/>
        <v>0.4</v>
      </c>
      <c r="E43" s="134">
        <v>9</v>
      </c>
      <c r="F43" s="82">
        <f t="shared" si="3"/>
        <v>0.82</v>
      </c>
      <c r="G43" s="134">
        <v>7</v>
      </c>
      <c r="H43" s="82">
        <f t="shared" si="4"/>
        <v>0.65</v>
      </c>
      <c r="I43" s="83">
        <f t="shared" ca="1" si="5"/>
        <v>69344.262295081964</v>
      </c>
      <c r="J43" s="83">
        <f t="shared" si="0"/>
        <v>76318.306010928965</v>
      </c>
      <c r="K43" s="84">
        <f t="shared" ca="1" si="6"/>
        <v>-46229.508196721319</v>
      </c>
      <c r="L43" s="84">
        <f t="shared" ca="1" si="1"/>
        <v>-50799.180327868846</v>
      </c>
      <c r="M43" s="83">
        <f t="shared" si="7"/>
        <v>52640</v>
      </c>
      <c r="N43" s="85">
        <f t="shared" ca="1" si="9"/>
        <v>6410.4918032786809</v>
      </c>
      <c r="O43" s="85">
        <f t="shared" ca="1" si="8"/>
        <v>1840.8196721311542</v>
      </c>
    </row>
    <row r="44" spans="1:15" x14ac:dyDescent="0.35">
      <c r="A44" s="47">
        <v>13</v>
      </c>
      <c r="B44" s="86">
        <v>43919</v>
      </c>
      <c r="C44" s="134">
        <v>51</v>
      </c>
      <c r="D44" s="82">
        <f t="shared" si="2"/>
        <v>0.49</v>
      </c>
      <c r="E44" s="134">
        <v>7</v>
      </c>
      <c r="F44" s="82">
        <f t="shared" si="3"/>
        <v>0.86</v>
      </c>
      <c r="G44" s="134">
        <v>9</v>
      </c>
      <c r="H44" s="82">
        <f t="shared" si="4"/>
        <v>0.55000000000000004</v>
      </c>
      <c r="I44" s="83">
        <f t="shared" ca="1" si="5"/>
        <v>58942.622950819677</v>
      </c>
      <c r="J44" s="83">
        <f t="shared" si="0"/>
        <v>65651.639344262294</v>
      </c>
      <c r="K44" s="84">
        <f t="shared" ca="1" si="6"/>
        <v>-56631.147540983606</v>
      </c>
      <c r="L44" s="84">
        <f t="shared" ca="1" si="1"/>
        <v>-61465.846994535517</v>
      </c>
      <c r="M44" s="83">
        <f t="shared" si="7"/>
        <v>57680</v>
      </c>
      <c r="N44" s="85">
        <f t="shared" ca="1" si="9"/>
        <v>1048.8524590163943</v>
      </c>
      <c r="O44" s="85">
        <f t="shared" ca="1" si="8"/>
        <v>-3785.8469945355173</v>
      </c>
    </row>
    <row r="45" spans="1:15" x14ac:dyDescent="0.35">
      <c r="A45" s="47">
        <v>14</v>
      </c>
      <c r="B45" s="86">
        <v>43920</v>
      </c>
      <c r="C45" s="134">
        <v>48</v>
      </c>
      <c r="D45" s="82">
        <f t="shared" si="2"/>
        <v>0.52</v>
      </c>
      <c r="E45" s="134">
        <v>4</v>
      </c>
      <c r="F45" s="82">
        <f t="shared" si="3"/>
        <v>0.92</v>
      </c>
      <c r="G45" s="134">
        <v>10</v>
      </c>
      <c r="H45" s="82">
        <f t="shared" si="4"/>
        <v>0.5</v>
      </c>
      <c r="I45" s="83">
        <f t="shared" ca="1" si="5"/>
        <v>55475.409836065577</v>
      </c>
      <c r="J45" s="83">
        <f t="shared" si="0"/>
        <v>62084.699453551912</v>
      </c>
      <c r="K45" s="84">
        <f t="shared" ca="1" si="6"/>
        <v>-60098.360655737706</v>
      </c>
      <c r="L45" s="84">
        <f t="shared" ca="1" si="1"/>
        <v>-65032.7868852459</v>
      </c>
      <c r="M45" s="83">
        <f t="shared" si="7"/>
        <v>60480</v>
      </c>
      <c r="N45" s="85">
        <f t="shared" ca="1" si="9"/>
        <v>381.63934426229389</v>
      </c>
      <c r="O45" s="85">
        <f t="shared" ca="1" si="8"/>
        <v>-4552.7868852458996</v>
      </c>
    </row>
    <row r="46" spans="1:15" x14ac:dyDescent="0.35">
      <c r="A46" s="47">
        <v>14</v>
      </c>
      <c r="B46" s="86">
        <v>43921</v>
      </c>
      <c r="C46" s="134">
        <v>67</v>
      </c>
      <c r="D46" s="82">
        <f t="shared" si="2"/>
        <v>0.33</v>
      </c>
      <c r="E46" s="134">
        <v>3</v>
      </c>
      <c r="F46" s="82">
        <f t="shared" si="3"/>
        <v>0.94</v>
      </c>
      <c r="G46" s="134">
        <v>11</v>
      </c>
      <c r="H46" s="82">
        <f t="shared" si="4"/>
        <v>0.45</v>
      </c>
      <c r="I46" s="83">
        <f t="shared" ca="1" si="5"/>
        <v>77434.426229508186</v>
      </c>
      <c r="J46" s="83">
        <f t="shared" si="0"/>
        <v>85066.939890710375</v>
      </c>
      <c r="K46" s="84">
        <f t="shared" ca="1" si="6"/>
        <v>-38139.344262295097</v>
      </c>
      <c r="L46" s="84">
        <f t="shared" ca="1" si="1"/>
        <v>-42050.546448087436</v>
      </c>
      <c r="M46" s="83">
        <f t="shared" si="7"/>
        <v>49840</v>
      </c>
      <c r="N46" s="85">
        <f t="shared" ca="1" si="9"/>
        <v>11700.655737704903</v>
      </c>
      <c r="O46" s="85">
        <f t="shared" ca="1" si="8"/>
        <v>7789.4535519125639</v>
      </c>
    </row>
    <row r="47" spans="1:15" x14ac:dyDescent="0.35">
      <c r="A47" s="47">
        <v>14</v>
      </c>
      <c r="B47" s="86">
        <v>43922</v>
      </c>
      <c r="C47" s="134">
        <v>77</v>
      </c>
      <c r="D47" s="82">
        <f t="shared" si="2"/>
        <v>0.23</v>
      </c>
      <c r="E47" s="134">
        <v>10</v>
      </c>
      <c r="F47" s="82">
        <f t="shared" si="3"/>
        <v>0.8</v>
      </c>
      <c r="G47" s="134">
        <v>2</v>
      </c>
      <c r="H47" s="82">
        <f t="shared" si="4"/>
        <v>0.9</v>
      </c>
      <c r="I47" s="83">
        <f t="shared" ca="1" si="5"/>
        <v>88991.803278688531</v>
      </c>
      <c r="J47" s="83">
        <f t="shared" si="0"/>
        <v>96275.956284152999</v>
      </c>
      <c r="K47" s="84">
        <f t="shared" ca="1" si="6"/>
        <v>-26581.967213114753</v>
      </c>
      <c r="L47" s="84">
        <f t="shared" ca="1" si="1"/>
        <v>-30841.530054644812</v>
      </c>
      <c r="M47" s="83">
        <f t="shared" si="7"/>
        <v>45360</v>
      </c>
      <c r="N47" s="85">
        <f t="shared" ca="1" si="9"/>
        <v>18778.032786885247</v>
      </c>
      <c r="O47" s="85">
        <f t="shared" ca="1" si="8"/>
        <v>14518.469945355188</v>
      </c>
    </row>
    <row r="48" spans="1:15" x14ac:dyDescent="0.35">
      <c r="A48" s="47">
        <v>14</v>
      </c>
      <c r="B48" s="86">
        <v>43923</v>
      </c>
      <c r="C48" s="134">
        <v>44</v>
      </c>
      <c r="D48" s="82">
        <f t="shared" si="2"/>
        <v>0.56000000000000005</v>
      </c>
      <c r="E48" s="134">
        <v>5</v>
      </c>
      <c r="F48" s="82">
        <f t="shared" si="3"/>
        <v>0.9</v>
      </c>
      <c r="G48" s="134">
        <v>8</v>
      </c>
      <c r="H48" s="82">
        <f t="shared" si="4"/>
        <v>0.6</v>
      </c>
      <c r="I48" s="83">
        <f t="shared" ca="1" si="5"/>
        <v>50852.459016393441</v>
      </c>
      <c r="J48" s="83">
        <f t="shared" si="0"/>
        <v>57066.939890710375</v>
      </c>
      <c r="K48" s="84">
        <f t="shared" ca="1" si="6"/>
        <v>-64721.311475409842</v>
      </c>
      <c r="L48" s="84">
        <f t="shared" ca="1" si="1"/>
        <v>-70050.546448087436</v>
      </c>
      <c r="M48" s="83">
        <f t="shared" si="7"/>
        <v>63280</v>
      </c>
      <c r="N48" s="85">
        <f t="shared" ca="1" si="9"/>
        <v>-1441.3114754098424</v>
      </c>
      <c r="O48" s="85">
        <f t="shared" ca="1" si="8"/>
        <v>-6770.5464480874361</v>
      </c>
    </row>
    <row r="49" spans="1:15" x14ac:dyDescent="0.35">
      <c r="A49" s="47">
        <v>14</v>
      </c>
      <c r="B49" s="86">
        <v>43924</v>
      </c>
      <c r="C49" s="134">
        <v>50</v>
      </c>
      <c r="D49" s="82">
        <f t="shared" si="2"/>
        <v>0.5</v>
      </c>
      <c r="E49" s="134">
        <v>4</v>
      </c>
      <c r="F49" s="82">
        <f t="shared" si="3"/>
        <v>0.92</v>
      </c>
      <c r="G49" s="134">
        <v>6</v>
      </c>
      <c r="H49" s="82">
        <f t="shared" si="4"/>
        <v>0.7</v>
      </c>
      <c r="I49" s="83">
        <f t="shared" ca="1" si="5"/>
        <v>57786.885245901642</v>
      </c>
      <c r="J49" s="83">
        <f t="shared" si="0"/>
        <v>64057.37704918033</v>
      </c>
      <c r="K49" s="84">
        <f t="shared" ca="1" si="6"/>
        <v>-57786.885245901642</v>
      </c>
      <c r="L49" s="84">
        <f t="shared" ca="1" si="1"/>
        <v>-63060.109289617481</v>
      </c>
      <c r="M49" s="83">
        <f t="shared" si="7"/>
        <v>61600</v>
      </c>
      <c r="N49" s="85">
        <f t="shared" ca="1" si="9"/>
        <v>3813.1147540983584</v>
      </c>
      <c r="O49" s="85">
        <f t="shared" ca="1" si="8"/>
        <v>-1460.1092896174814</v>
      </c>
    </row>
    <row r="50" spans="1:15" x14ac:dyDescent="0.35">
      <c r="A50" s="47">
        <v>14</v>
      </c>
      <c r="B50" s="86">
        <v>43925</v>
      </c>
      <c r="C50" s="134">
        <v>62</v>
      </c>
      <c r="D50" s="82">
        <f t="shared" si="2"/>
        <v>0.38</v>
      </c>
      <c r="E50" s="134">
        <v>5</v>
      </c>
      <c r="F50" s="82">
        <f t="shared" si="3"/>
        <v>0.9</v>
      </c>
      <c r="G50" s="134">
        <v>2</v>
      </c>
      <c r="H50" s="82">
        <f t="shared" si="4"/>
        <v>0.9</v>
      </c>
      <c r="I50" s="83">
        <f t="shared" ca="1" si="5"/>
        <v>71655.737704918036</v>
      </c>
      <c r="J50" s="83">
        <f t="shared" si="0"/>
        <v>78099.726775956282</v>
      </c>
      <c r="K50" s="84">
        <f t="shared" ca="1" si="6"/>
        <v>-43918.032786885247</v>
      </c>
      <c r="L50" s="84">
        <f t="shared" ca="1" si="1"/>
        <v>-49017.759562841529</v>
      </c>
      <c r="M50" s="83">
        <f t="shared" si="7"/>
        <v>56560</v>
      </c>
      <c r="N50" s="85">
        <f t="shared" ca="1" si="9"/>
        <v>12641.967213114753</v>
      </c>
      <c r="O50" s="85">
        <f t="shared" ca="1" si="8"/>
        <v>7542.2404371584707</v>
      </c>
    </row>
    <row r="51" spans="1:15" x14ac:dyDescent="0.35">
      <c r="A51" s="47">
        <v>14</v>
      </c>
      <c r="B51" s="86">
        <v>43926</v>
      </c>
      <c r="C51" s="134">
        <v>71</v>
      </c>
      <c r="D51" s="82">
        <f t="shared" si="2"/>
        <v>0.28999999999999998</v>
      </c>
      <c r="E51" s="134">
        <v>0</v>
      </c>
      <c r="F51" s="82">
        <f t="shared" si="3"/>
        <v>1</v>
      </c>
      <c r="G51" s="134">
        <v>1</v>
      </c>
      <c r="H51" s="82">
        <f t="shared" si="4"/>
        <v>0.95</v>
      </c>
      <c r="I51" s="83">
        <f t="shared" ca="1" si="5"/>
        <v>82057.37704918033</v>
      </c>
      <c r="J51" s="83">
        <f t="shared" si="0"/>
        <v>88732.240437158471</v>
      </c>
      <c r="K51" s="84">
        <f t="shared" ca="1" si="6"/>
        <v>-33516.393442622953</v>
      </c>
      <c r="L51" s="84">
        <f t="shared" ca="1" si="1"/>
        <v>-38385.24590163934</v>
      </c>
      <c r="M51" s="83">
        <f t="shared" si="7"/>
        <v>54880</v>
      </c>
      <c r="N51" s="85">
        <f t="shared" ca="1" si="9"/>
        <v>21363.606557377047</v>
      </c>
      <c r="O51" s="85">
        <f t="shared" ca="1" si="8"/>
        <v>16494.75409836066</v>
      </c>
    </row>
    <row r="52" spans="1:15" x14ac:dyDescent="0.35">
      <c r="A52" s="47">
        <v>15</v>
      </c>
      <c r="B52" s="86">
        <v>43927</v>
      </c>
      <c r="C52" s="134">
        <v>60</v>
      </c>
      <c r="D52" s="82">
        <f t="shared" si="2"/>
        <v>0.4</v>
      </c>
      <c r="E52" s="134">
        <v>1</v>
      </c>
      <c r="F52" s="82">
        <f t="shared" si="3"/>
        <v>0.98</v>
      </c>
      <c r="G52" s="134">
        <v>2</v>
      </c>
      <c r="H52" s="82">
        <f t="shared" si="4"/>
        <v>0.9</v>
      </c>
      <c r="I52" s="83">
        <f t="shared" ca="1" si="5"/>
        <v>69344.262295081964</v>
      </c>
      <c r="J52" s="83">
        <f t="shared" si="0"/>
        <v>75607.923497267766</v>
      </c>
      <c r="K52" s="84">
        <f t="shared" ca="1" si="6"/>
        <v>-46229.508196721319</v>
      </c>
      <c r="L52" s="84">
        <f t="shared" ca="1" si="1"/>
        <v>-51509.562841530045</v>
      </c>
      <c r="M52" s="83">
        <f t="shared" si="7"/>
        <v>59920</v>
      </c>
      <c r="N52" s="85">
        <f t="shared" ca="1" si="9"/>
        <v>13690.491803278681</v>
      </c>
      <c r="O52" s="85">
        <f t="shared" ca="1" si="8"/>
        <v>8410.4371584699547</v>
      </c>
    </row>
    <row r="53" spans="1:15" x14ac:dyDescent="0.35">
      <c r="A53" s="47">
        <v>15</v>
      </c>
      <c r="B53" s="86">
        <v>43928</v>
      </c>
      <c r="C53" s="134">
        <v>65</v>
      </c>
      <c r="D53" s="82">
        <f t="shared" si="2"/>
        <v>0.35</v>
      </c>
      <c r="E53" s="134">
        <v>20</v>
      </c>
      <c r="F53" s="82">
        <f t="shared" si="3"/>
        <v>0.6</v>
      </c>
      <c r="G53" s="134">
        <v>5</v>
      </c>
      <c r="H53" s="82">
        <f t="shared" si="4"/>
        <v>0.75</v>
      </c>
      <c r="I53" s="83">
        <f t="shared" ca="1" si="5"/>
        <v>75122.950819672144</v>
      </c>
      <c r="J53" s="83">
        <f t="shared" si="0"/>
        <v>82349.726775956282</v>
      </c>
      <c r="K53" s="84">
        <f t="shared" ca="1" si="6"/>
        <v>-40450.81967213114</v>
      </c>
      <c r="L53" s="84">
        <f t="shared" ca="1" si="1"/>
        <v>-44767.759562841529</v>
      </c>
      <c r="M53" s="83">
        <f t="shared" si="7"/>
        <v>44800</v>
      </c>
      <c r="N53" s="85">
        <f t="shared" ca="1" si="9"/>
        <v>4349.1803278688603</v>
      </c>
      <c r="O53" s="85">
        <f t="shared" ca="1" si="8"/>
        <v>32.240437158470741</v>
      </c>
    </row>
    <row r="54" spans="1:15" x14ac:dyDescent="0.35">
      <c r="A54" s="47">
        <v>15</v>
      </c>
      <c r="B54" s="86">
        <v>43929</v>
      </c>
      <c r="C54" s="134" t="str">
        <f ca="1">IF(B54&gt;=TODAY(),($D$5/$I$6),"")</f>
        <v/>
      </c>
      <c r="D54" s="82">
        <f ca="1">-IFERROR((C54-$D$4)/$D$4,0)</f>
        <v>0</v>
      </c>
      <c r="E54" s="134" t="str">
        <f ca="1">IF(B54&gt;=TODAY(),($D$7/$I$6),"")</f>
        <v/>
      </c>
      <c r="F54" s="82">
        <f t="shared" ca="1" si="3"/>
        <v>0</v>
      </c>
      <c r="G54" s="134" t="str">
        <f ca="1">IF(B54&gt;=TODAY(),($D$9/$I$6),"")</f>
        <v/>
      </c>
      <c r="H54" s="82">
        <f t="shared" ca="1" si="4"/>
        <v>0</v>
      </c>
      <c r="I54" s="83">
        <f t="shared" ca="1" si="5"/>
        <v>115573.77049180328</v>
      </c>
      <c r="J54" s="83">
        <f t="shared" ca="1" si="0"/>
        <v>126775.956284153</v>
      </c>
      <c r="K54" s="84">
        <f t="shared" ca="1" si="6"/>
        <v>0</v>
      </c>
      <c r="L54" s="84">
        <f t="shared" ca="1" si="1"/>
        <v>-341.53005464481248</v>
      </c>
      <c r="M54" s="83" t="e">
        <f t="shared" ca="1" si="7"/>
        <v>#VALUE!</v>
      </c>
      <c r="N54" s="85" t="e">
        <f t="shared" ca="1" si="9"/>
        <v>#VALUE!</v>
      </c>
      <c r="O54" s="85" t="e">
        <f t="shared" ca="1" si="8"/>
        <v>#VALUE!</v>
      </c>
    </row>
    <row r="55" spans="1:15" x14ac:dyDescent="0.35">
      <c r="A55" s="47">
        <v>15</v>
      </c>
      <c r="B55" s="86">
        <v>43930</v>
      </c>
      <c r="C55" s="134" t="str">
        <f ca="1">IF(B55&gt;=TODAY(),($D$5/$I$6),"")</f>
        <v/>
      </c>
      <c r="D55" s="82">
        <f t="shared" ca="1" si="2"/>
        <v>0</v>
      </c>
      <c r="E55" s="134" t="str">
        <f t="shared" ref="E55:E118" ca="1" si="10">IF(B55&gt;=TODAY(),($D$7/$I$6),"")</f>
        <v/>
      </c>
      <c r="F55" s="82">
        <f t="shared" ca="1" si="3"/>
        <v>0</v>
      </c>
      <c r="G55" s="134" t="str">
        <f t="shared" ref="G55:G118" ca="1" si="11">IF(B55&gt;=TODAY(),($D$9/$I$6),"")</f>
        <v/>
      </c>
      <c r="H55" s="82">
        <f t="shared" ca="1" si="4"/>
        <v>0</v>
      </c>
      <c r="I55" s="83">
        <f t="shared" ca="1" si="5"/>
        <v>115573.77049180328</v>
      </c>
      <c r="J55" s="83">
        <f t="shared" ca="1" si="0"/>
        <v>126775.956284153</v>
      </c>
      <c r="K55" s="84">
        <f t="shared" ca="1" si="6"/>
        <v>0</v>
      </c>
      <c r="L55" s="84">
        <f t="shared" ca="1" si="1"/>
        <v>-341.53005464481248</v>
      </c>
      <c r="M55" s="83" t="e">
        <f t="shared" ca="1" si="7"/>
        <v>#VALUE!</v>
      </c>
      <c r="N55" s="85" t="e">
        <f t="shared" ca="1" si="9"/>
        <v>#VALUE!</v>
      </c>
      <c r="O55" s="85" t="e">
        <f t="shared" ca="1" si="8"/>
        <v>#VALUE!</v>
      </c>
    </row>
    <row r="56" spans="1:15" x14ac:dyDescent="0.35">
      <c r="A56" s="47">
        <v>15</v>
      </c>
      <c r="B56" s="86">
        <v>43931</v>
      </c>
      <c r="C56" s="134" t="str">
        <f t="shared" ref="C56:C85" ca="1" si="12">IF(B56&gt;=TODAY(),($D$5/$I$6),"")</f>
        <v/>
      </c>
      <c r="D56" s="82">
        <f ca="1">-IFERROR((C56-$D$4)/$D$4,0)</f>
        <v>0</v>
      </c>
      <c r="E56" s="134" t="str">
        <f t="shared" ca="1" si="10"/>
        <v/>
      </c>
      <c r="F56" s="82">
        <f t="shared" ca="1" si="3"/>
        <v>0</v>
      </c>
      <c r="G56" s="134" t="str">
        <f t="shared" ca="1" si="11"/>
        <v/>
      </c>
      <c r="H56" s="82">
        <f t="shared" ca="1" si="4"/>
        <v>0</v>
      </c>
      <c r="I56" s="83">
        <f t="shared" ca="1" si="5"/>
        <v>115573.77049180328</v>
      </c>
      <c r="J56" s="83">
        <f t="shared" ca="1" si="0"/>
        <v>126775.956284153</v>
      </c>
      <c r="K56" s="84">
        <f t="shared" ca="1" si="6"/>
        <v>0</v>
      </c>
      <c r="L56" s="84">
        <f t="shared" ca="1" si="1"/>
        <v>-341.53005464481248</v>
      </c>
      <c r="M56" s="83" t="e">
        <f t="shared" ca="1" si="7"/>
        <v>#VALUE!</v>
      </c>
      <c r="N56" s="85" t="e">
        <f t="shared" ca="1" si="9"/>
        <v>#VALUE!</v>
      </c>
      <c r="O56" s="85" t="e">
        <f t="shared" ca="1" si="8"/>
        <v>#VALUE!</v>
      </c>
    </row>
    <row r="57" spans="1:15" x14ac:dyDescent="0.35">
      <c r="A57" s="47">
        <v>15</v>
      </c>
      <c r="B57" s="86">
        <v>43932</v>
      </c>
      <c r="C57" s="134" t="str">
        <f t="shared" ca="1" si="12"/>
        <v/>
      </c>
      <c r="D57" s="82">
        <f t="shared" ca="1" si="2"/>
        <v>0</v>
      </c>
      <c r="E57" s="134" t="str">
        <f t="shared" ca="1" si="10"/>
        <v/>
      </c>
      <c r="F57" s="82">
        <f t="shared" ca="1" si="3"/>
        <v>0</v>
      </c>
      <c r="G57" s="134" t="str">
        <f t="shared" ca="1" si="11"/>
        <v/>
      </c>
      <c r="H57" s="82">
        <f t="shared" ca="1" si="4"/>
        <v>0</v>
      </c>
      <c r="I57" s="83">
        <f t="shared" ca="1" si="5"/>
        <v>115573.77049180328</v>
      </c>
      <c r="J57" s="83">
        <f t="shared" ca="1" si="0"/>
        <v>126775.956284153</v>
      </c>
      <c r="K57" s="84">
        <f t="shared" ca="1" si="6"/>
        <v>0</v>
      </c>
      <c r="L57" s="84">
        <f t="shared" ca="1" si="1"/>
        <v>-341.53005464481248</v>
      </c>
      <c r="M57" s="83" t="e">
        <f t="shared" ca="1" si="7"/>
        <v>#VALUE!</v>
      </c>
      <c r="N57" s="85" t="e">
        <f t="shared" ca="1" si="9"/>
        <v>#VALUE!</v>
      </c>
      <c r="O57" s="85" t="e">
        <f t="shared" ca="1" si="8"/>
        <v>#VALUE!</v>
      </c>
    </row>
    <row r="58" spans="1:15" x14ac:dyDescent="0.35">
      <c r="A58" s="47">
        <v>15</v>
      </c>
      <c r="B58" s="86">
        <v>43933</v>
      </c>
      <c r="C58" s="134" t="str">
        <f t="shared" ca="1" si="12"/>
        <v/>
      </c>
      <c r="D58" s="82">
        <f t="shared" ca="1" si="2"/>
        <v>0</v>
      </c>
      <c r="E58" s="134" t="str">
        <f t="shared" ca="1" si="10"/>
        <v/>
      </c>
      <c r="F58" s="82">
        <f t="shared" ca="1" si="3"/>
        <v>0</v>
      </c>
      <c r="G58" s="134" t="str">
        <f t="shared" ca="1" si="11"/>
        <v/>
      </c>
      <c r="H58" s="82">
        <f t="shared" ca="1" si="4"/>
        <v>0</v>
      </c>
      <c r="I58" s="83">
        <f t="shared" ca="1" si="5"/>
        <v>115573.77049180328</v>
      </c>
      <c r="J58" s="83">
        <f t="shared" ca="1" si="0"/>
        <v>126775.956284153</v>
      </c>
      <c r="K58" s="84">
        <f t="shared" ca="1" si="6"/>
        <v>0</v>
      </c>
      <c r="L58" s="84">
        <f t="shared" ca="1" si="1"/>
        <v>-341.53005464481248</v>
      </c>
      <c r="M58" s="83" t="e">
        <f t="shared" ca="1" si="7"/>
        <v>#VALUE!</v>
      </c>
      <c r="N58" s="85" t="e">
        <f t="shared" ca="1" si="9"/>
        <v>#VALUE!</v>
      </c>
      <c r="O58" s="85" t="e">
        <f t="shared" ca="1" si="8"/>
        <v>#VALUE!</v>
      </c>
    </row>
    <row r="59" spans="1:15" x14ac:dyDescent="0.35">
      <c r="A59" s="47">
        <v>16</v>
      </c>
      <c r="B59" s="86">
        <v>43934</v>
      </c>
      <c r="C59" s="134" t="str">
        <f t="shared" ca="1" si="12"/>
        <v/>
      </c>
      <c r="D59" s="82">
        <f t="shared" ca="1" si="2"/>
        <v>0</v>
      </c>
      <c r="E59" s="134" t="str">
        <f t="shared" ca="1" si="10"/>
        <v/>
      </c>
      <c r="F59" s="82">
        <f t="shared" ca="1" si="3"/>
        <v>0</v>
      </c>
      <c r="G59" s="134" t="str">
        <f t="shared" ca="1" si="11"/>
        <v/>
      </c>
      <c r="H59" s="82">
        <f t="shared" ca="1" si="4"/>
        <v>0</v>
      </c>
      <c r="I59" s="83">
        <f t="shared" ca="1" si="5"/>
        <v>115573.77049180328</v>
      </c>
      <c r="J59" s="83">
        <f t="shared" ca="1" si="0"/>
        <v>126775.956284153</v>
      </c>
      <c r="K59" s="84">
        <f t="shared" ca="1" si="6"/>
        <v>0</v>
      </c>
      <c r="L59" s="84">
        <f t="shared" ca="1" si="1"/>
        <v>-341.53005464481248</v>
      </c>
      <c r="M59" s="83" t="e">
        <f t="shared" ca="1" si="7"/>
        <v>#VALUE!</v>
      </c>
      <c r="N59" s="85" t="e">
        <f t="shared" ca="1" si="9"/>
        <v>#VALUE!</v>
      </c>
      <c r="O59" s="85" t="e">
        <f t="shared" ca="1" si="8"/>
        <v>#VALUE!</v>
      </c>
    </row>
    <row r="60" spans="1:15" x14ac:dyDescent="0.35">
      <c r="A60" s="47">
        <v>16</v>
      </c>
      <c r="B60" s="86">
        <v>43935</v>
      </c>
      <c r="C60" s="134" t="str">
        <f t="shared" ca="1" si="12"/>
        <v/>
      </c>
      <c r="D60" s="82">
        <f t="shared" ca="1" si="2"/>
        <v>0</v>
      </c>
      <c r="E60" s="134" t="str">
        <f t="shared" ca="1" si="10"/>
        <v/>
      </c>
      <c r="F60" s="82">
        <f t="shared" ca="1" si="3"/>
        <v>0</v>
      </c>
      <c r="G60" s="134" t="str">
        <f t="shared" ca="1" si="11"/>
        <v/>
      </c>
      <c r="H60" s="82">
        <f t="shared" ca="1" si="4"/>
        <v>0</v>
      </c>
      <c r="I60" s="83">
        <f t="shared" ca="1" si="5"/>
        <v>115573.77049180328</v>
      </c>
      <c r="J60" s="83">
        <f t="shared" ca="1" si="0"/>
        <v>126775.956284153</v>
      </c>
      <c r="K60" s="84">
        <f t="shared" ca="1" si="6"/>
        <v>0</v>
      </c>
      <c r="L60" s="84">
        <f t="shared" ca="1" si="1"/>
        <v>-341.53005464481248</v>
      </c>
      <c r="M60" s="83" t="e">
        <f t="shared" ca="1" si="7"/>
        <v>#VALUE!</v>
      </c>
      <c r="N60" s="85" t="e">
        <f t="shared" ca="1" si="9"/>
        <v>#VALUE!</v>
      </c>
      <c r="O60" s="85" t="e">
        <f t="shared" ca="1" si="8"/>
        <v>#VALUE!</v>
      </c>
    </row>
    <row r="61" spans="1:15" x14ac:dyDescent="0.35">
      <c r="A61" s="47">
        <v>16</v>
      </c>
      <c r="B61" s="86">
        <v>43936</v>
      </c>
      <c r="C61" s="134" t="str">
        <f t="shared" ca="1" si="12"/>
        <v/>
      </c>
      <c r="D61" s="82">
        <f t="shared" ca="1" si="2"/>
        <v>0</v>
      </c>
      <c r="E61" s="134" t="str">
        <f t="shared" ca="1" si="10"/>
        <v/>
      </c>
      <c r="F61" s="82">
        <f t="shared" ca="1" si="3"/>
        <v>0</v>
      </c>
      <c r="G61" s="134" t="str">
        <f t="shared" ca="1" si="11"/>
        <v/>
      </c>
      <c r="H61" s="82">
        <f t="shared" ca="1" si="4"/>
        <v>0</v>
      </c>
      <c r="I61" s="83">
        <f t="shared" ca="1" si="5"/>
        <v>115573.77049180328</v>
      </c>
      <c r="J61" s="83">
        <f t="shared" ca="1" si="0"/>
        <v>126775.956284153</v>
      </c>
      <c r="K61" s="84">
        <f t="shared" ca="1" si="6"/>
        <v>0</v>
      </c>
      <c r="L61" s="84">
        <f t="shared" ca="1" si="1"/>
        <v>-341.53005464481248</v>
      </c>
      <c r="M61" s="83" t="e">
        <f t="shared" ca="1" si="7"/>
        <v>#VALUE!</v>
      </c>
      <c r="N61" s="85" t="e">
        <f t="shared" ca="1" si="9"/>
        <v>#VALUE!</v>
      </c>
      <c r="O61" s="85" t="e">
        <f t="shared" ca="1" si="8"/>
        <v>#VALUE!</v>
      </c>
    </row>
    <row r="62" spans="1:15" x14ac:dyDescent="0.35">
      <c r="A62" s="47">
        <v>16</v>
      </c>
      <c r="B62" s="86">
        <v>43937</v>
      </c>
      <c r="C62" s="134" t="str">
        <f t="shared" ca="1" si="12"/>
        <v/>
      </c>
      <c r="D62" s="82">
        <f t="shared" ca="1" si="2"/>
        <v>0</v>
      </c>
      <c r="E62" s="134" t="str">
        <f t="shared" ca="1" si="10"/>
        <v/>
      </c>
      <c r="F62" s="82">
        <f t="shared" ca="1" si="3"/>
        <v>0</v>
      </c>
      <c r="G62" s="134" t="str">
        <f t="shared" ca="1" si="11"/>
        <v/>
      </c>
      <c r="H62" s="82">
        <f t="shared" ca="1" si="4"/>
        <v>0</v>
      </c>
      <c r="I62" s="83">
        <f t="shared" ca="1" si="5"/>
        <v>115573.77049180328</v>
      </c>
      <c r="J62" s="83">
        <f t="shared" ca="1" si="0"/>
        <v>126775.956284153</v>
      </c>
      <c r="K62" s="84">
        <f t="shared" ca="1" si="6"/>
        <v>0</v>
      </c>
      <c r="L62" s="84">
        <f t="shared" ca="1" si="1"/>
        <v>-341.53005464481248</v>
      </c>
      <c r="M62" s="83" t="e">
        <f t="shared" ca="1" si="7"/>
        <v>#VALUE!</v>
      </c>
      <c r="N62" s="85" t="e">
        <f t="shared" ca="1" si="9"/>
        <v>#VALUE!</v>
      </c>
      <c r="O62" s="85" t="e">
        <f t="shared" ca="1" si="8"/>
        <v>#VALUE!</v>
      </c>
    </row>
    <row r="63" spans="1:15" x14ac:dyDescent="0.35">
      <c r="A63" s="47">
        <v>16</v>
      </c>
      <c r="B63" s="86">
        <v>43938</v>
      </c>
      <c r="C63" s="134" t="str">
        <f t="shared" ca="1" si="12"/>
        <v/>
      </c>
      <c r="D63" s="82">
        <f t="shared" ref="D63:D94" ca="1" si="13">-IFERROR((C63-$D$4)/$D$4,0)</f>
        <v>0</v>
      </c>
      <c r="E63" s="134" t="str">
        <f t="shared" ca="1" si="10"/>
        <v/>
      </c>
      <c r="F63" s="82">
        <f t="shared" ca="1" si="3"/>
        <v>0</v>
      </c>
      <c r="G63" s="134" t="str">
        <f t="shared" ca="1" si="11"/>
        <v/>
      </c>
      <c r="H63" s="82">
        <f t="shared" ca="1" si="4"/>
        <v>0</v>
      </c>
      <c r="I63" s="83">
        <f t="shared" ca="1" si="5"/>
        <v>115573.77049180328</v>
      </c>
      <c r="J63" s="83">
        <f t="shared" ref="J63:J94" ca="1" si="14">(($D$15+$D$16)*(1-D63)+($D$17*(1-$I$4))+($D$18*(1-F63))+($D$19*(1-H63)))/$I$6</f>
        <v>126775.956284153</v>
      </c>
      <c r="K63" s="84">
        <f t="shared" ca="1" si="6"/>
        <v>0</v>
      </c>
      <c r="L63" s="84">
        <f t="shared" ref="L63:L95" ca="1" si="15">$J63-$D$23</f>
        <v>-341.53005464481248</v>
      </c>
      <c r="M63" s="83" t="e">
        <f t="shared" ca="1" si="7"/>
        <v>#VALUE!</v>
      </c>
      <c r="N63" s="85" t="e">
        <f t="shared" ca="1" si="9"/>
        <v>#VALUE!</v>
      </c>
      <c r="O63" s="85" t="e">
        <f t="shared" ca="1" si="8"/>
        <v>#VALUE!</v>
      </c>
    </row>
    <row r="64" spans="1:15" x14ac:dyDescent="0.35">
      <c r="A64" s="47">
        <v>16</v>
      </c>
      <c r="B64" s="86">
        <v>43939</v>
      </c>
      <c r="C64" s="134" t="str">
        <f t="shared" ca="1" si="12"/>
        <v/>
      </c>
      <c r="D64" s="82">
        <f t="shared" ca="1" si="13"/>
        <v>0</v>
      </c>
      <c r="E64" s="134" t="str">
        <f t="shared" ca="1" si="10"/>
        <v/>
      </c>
      <c r="F64" s="82">
        <f t="shared" ca="1" si="3"/>
        <v>0</v>
      </c>
      <c r="G64" s="134" t="str">
        <f t="shared" ca="1" si="11"/>
        <v/>
      </c>
      <c r="H64" s="82">
        <f t="shared" ca="1" si="4"/>
        <v>0</v>
      </c>
      <c r="I64" s="83">
        <f t="shared" ca="1" si="5"/>
        <v>115573.77049180328</v>
      </c>
      <c r="J64" s="83">
        <f t="shared" ca="1" si="14"/>
        <v>126775.956284153</v>
      </c>
      <c r="K64" s="84">
        <f t="shared" ca="1" si="6"/>
        <v>0</v>
      </c>
      <c r="L64" s="84">
        <f t="shared" ca="1" si="15"/>
        <v>-341.53005464481248</v>
      </c>
      <c r="M64" s="83" t="e">
        <f t="shared" ca="1" si="7"/>
        <v>#VALUE!</v>
      </c>
      <c r="N64" s="85" t="e">
        <f t="shared" ca="1" si="9"/>
        <v>#VALUE!</v>
      </c>
      <c r="O64" s="85" t="e">
        <f t="shared" ca="1" si="8"/>
        <v>#VALUE!</v>
      </c>
    </row>
    <row r="65" spans="1:15" x14ac:dyDescent="0.35">
      <c r="A65" s="47">
        <v>16</v>
      </c>
      <c r="B65" s="86">
        <v>43940</v>
      </c>
      <c r="C65" s="134" t="str">
        <f t="shared" ca="1" si="12"/>
        <v/>
      </c>
      <c r="D65" s="82">
        <f t="shared" ca="1" si="13"/>
        <v>0</v>
      </c>
      <c r="E65" s="134" t="str">
        <f t="shared" ca="1" si="10"/>
        <v/>
      </c>
      <c r="F65" s="82">
        <f t="shared" ca="1" si="3"/>
        <v>0</v>
      </c>
      <c r="G65" s="134" t="str">
        <f t="shared" ca="1" si="11"/>
        <v/>
      </c>
      <c r="H65" s="82">
        <f t="shared" ca="1" si="4"/>
        <v>0</v>
      </c>
      <c r="I65" s="83">
        <f t="shared" ca="1" si="5"/>
        <v>115573.77049180328</v>
      </c>
      <c r="J65" s="83">
        <f t="shared" ca="1" si="14"/>
        <v>126775.956284153</v>
      </c>
      <c r="K65" s="84">
        <f t="shared" ca="1" si="6"/>
        <v>0</v>
      </c>
      <c r="L65" s="84">
        <f t="shared" ca="1" si="15"/>
        <v>-341.53005464481248</v>
      </c>
      <c r="M65" s="83" t="e">
        <f t="shared" ca="1" si="7"/>
        <v>#VALUE!</v>
      </c>
      <c r="N65" s="85" t="e">
        <f t="shared" ca="1" si="9"/>
        <v>#VALUE!</v>
      </c>
      <c r="O65" s="85" t="e">
        <f t="shared" ca="1" si="8"/>
        <v>#VALUE!</v>
      </c>
    </row>
    <row r="66" spans="1:15" x14ac:dyDescent="0.35">
      <c r="A66" s="47">
        <v>17</v>
      </c>
      <c r="B66" s="86">
        <v>43941</v>
      </c>
      <c r="C66" s="134">
        <f t="shared" ca="1" si="12"/>
        <v>54.644808743169399</v>
      </c>
      <c r="D66" s="82">
        <f t="shared" ca="1" si="13"/>
        <v>0.45355191256830601</v>
      </c>
      <c r="E66" s="134">
        <f t="shared" ca="1" si="10"/>
        <v>13.66120218579235</v>
      </c>
      <c r="F66" s="82">
        <f t="shared" ca="1" si="3"/>
        <v>0.72677595628415304</v>
      </c>
      <c r="G66" s="134">
        <f t="shared" ca="1" si="11"/>
        <v>10.928961748633879</v>
      </c>
      <c r="H66" s="82">
        <f t="shared" ca="1" si="4"/>
        <v>0.45355191256830601</v>
      </c>
      <c r="I66" s="83">
        <f t="shared" ca="1" si="5"/>
        <v>63155.065842515447</v>
      </c>
      <c r="J66" s="83">
        <f t="shared" ca="1" si="14"/>
        <v>70390.6506614112</v>
      </c>
      <c r="K66" s="84">
        <f t="shared" ca="1" si="6"/>
        <v>-52418.704649287836</v>
      </c>
      <c r="L66" s="84">
        <f t="shared" ca="1" si="15"/>
        <v>-56726.835677386611</v>
      </c>
      <c r="M66" s="83">
        <f t="shared" ca="1" si="7"/>
        <v>50828.415300546454</v>
      </c>
      <c r="N66" s="85">
        <f t="shared" ca="1" si="9"/>
        <v>-1590.2893487413821</v>
      </c>
      <c r="O66" s="85">
        <f t="shared" ca="1" si="8"/>
        <v>-5898.4203768401567</v>
      </c>
    </row>
    <row r="67" spans="1:15" x14ac:dyDescent="0.35">
      <c r="A67" s="47">
        <v>17</v>
      </c>
      <c r="B67" s="86">
        <v>43942</v>
      </c>
      <c r="C67" s="134">
        <f t="shared" ca="1" si="12"/>
        <v>54.644808743169399</v>
      </c>
      <c r="D67" s="82">
        <f t="shared" ca="1" si="13"/>
        <v>0.45355191256830601</v>
      </c>
      <c r="E67" s="134">
        <f t="shared" ca="1" si="10"/>
        <v>13.66120218579235</v>
      </c>
      <c r="F67" s="82">
        <f t="shared" ca="1" si="3"/>
        <v>0.72677595628415304</v>
      </c>
      <c r="G67" s="134">
        <f t="shared" ca="1" si="11"/>
        <v>10.928961748633879</v>
      </c>
      <c r="H67" s="82">
        <f t="shared" ca="1" si="4"/>
        <v>0.45355191256830601</v>
      </c>
      <c r="I67" s="83">
        <f t="shared" ca="1" si="5"/>
        <v>63155.065842515447</v>
      </c>
      <c r="J67" s="83">
        <f t="shared" ca="1" si="14"/>
        <v>70390.6506614112</v>
      </c>
      <c r="K67" s="84">
        <f t="shared" ca="1" si="6"/>
        <v>-52418.704649287836</v>
      </c>
      <c r="L67" s="84">
        <f t="shared" ca="1" si="15"/>
        <v>-56726.835677386611</v>
      </c>
      <c r="M67" s="83">
        <f t="shared" ca="1" si="7"/>
        <v>50828.415300546454</v>
      </c>
      <c r="N67" s="85">
        <f t="shared" ca="1" si="9"/>
        <v>-1590.2893487413821</v>
      </c>
      <c r="O67" s="85">
        <f t="shared" ca="1" si="8"/>
        <v>-5898.4203768401567</v>
      </c>
    </row>
    <row r="68" spans="1:15" x14ac:dyDescent="0.35">
      <c r="A68" s="47">
        <v>17</v>
      </c>
      <c r="B68" s="86">
        <v>43943</v>
      </c>
      <c r="C68" s="134">
        <f ca="1">IF(B68&gt;=TODAY(),($D$5/$I$6),"")</f>
        <v>54.644808743169399</v>
      </c>
      <c r="D68" s="82">
        <f t="shared" ca="1" si="13"/>
        <v>0.45355191256830601</v>
      </c>
      <c r="E68" s="134">
        <f t="shared" ca="1" si="10"/>
        <v>13.66120218579235</v>
      </c>
      <c r="F68" s="82">
        <f t="shared" ca="1" si="3"/>
        <v>0.72677595628415304</v>
      </c>
      <c r="G68" s="134">
        <f t="shared" ca="1" si="11"/>
        <v>10.928961748633879</v>
      </c>
      <c r="H68" s="82">
        <f t="shared" ca="1" si="4"/>
        <v>0.45355191256830601</v>
      </c>
      <c r="I68" s="83">
        <f t="shared" ca="1" si="5"/>
        <v>63155.065842515447</v>
      </c>
      <c r="J68" s="83">
        <f t="shared" ca="1" si="14"/>
        <v>70390.6506614112</v>
      </c>
      <c r="K68" s="84">
        <f t="shared" ca="1" si="6"/>
        <v>-52418.704649287836</v>
      </c>
      <c r="L68" s="84">
        <f t="shared" ca="1" si="15"/>
        <v>-56726.835677386611</v>
      </c>
      <c r="M68" s="83">
        <f t="shared" ca="1" si="7"/>
        <v>50828.415300546454</v>
      </c>
      <c r="N68" s="85">
        <f t="shared" ca="1" si="9"/>
        <v>-1590.2893487413821</v>
      </c>
      <c r="O68" s="85">
        <f t="shared" ca="1" si="8"/>
        <v>-5898.4203768401567</v>
      </c>
    </row>
    <row r="69" spans="1:15" x14ac:dyDescent="0.35">
      <c r="A69" s="47">
        <v>17</v>
      </c>
      <c r="B69" s="86">
        <v>43944</v>
      </c>
      <c r="C69" s="134">
        <f t="shared" ca="1" si="12"/>
        <v>54.644808743169399</v>
      </c>
      <c r="D69" s="82">
        <f t="shared" ca="1" si="13"/>
        <v>0.45355191256830601</v>
      </c>
      <c r="E69" s="134">
        <f t="shared" ca="1" si="10"/>
        <v>13.66120218579235</v>
      </c>
      <c r="F69" s="82">
        <f t="shared" ca="1" si="3"/>
        <v>0.72677595628415304</v>
      </c>
      <c r="G69" s="134">
        <f t="shared" ca="1" si="11"/>
        <v>10.928961748633879</v>
      </c>
      <c r="H69" s="82">
        <f t="shared" ca="1" si="4"/>
        <v>0.45355191256830601</v>
      </c>
      <c r="I69" s="83">
        <f t="shared" ca="1" si="5"/>
        <v>63155.065842515447</v>
      </c>
      <c r="J69" s="83">
        <f t="shared" ca="1" si="14"/>
        <v>70390.6506614112</v>
      </c>
      <c r="K69" s="84">
        <f t="shared" ca="1" si="6"/>
        <v>-52418.704649287836</v>
      </c>
      <c r="L69" s="84">
        <f t="shared" ca="1" si="15"/>
        <v>-56726.835677386611</v>
      </c>
      <c r="M69" s="83">
        <f t="shared" ca="1" si="7"/>
        <v>50828.415300546454</v>
      </c>
      <c r="N69" s="85">
        <f t="shared" ca="1" si="9"/>
        <v>-1590.2893487413821</v>
      </c>
      <c r="O69" s="85">
        <f t="shared" ca="1" si="8"/>
        <v>-5898.4203768401567</v>
      </c>
    </row>
    <row r="70" spans="1:15" x14ac:dyDescent="0.35">
      <c r="A70" s="47">
        <v>17</v>
      </c>
      <c r="B70" s="86">
        <v>43945</v>
      </c>
      <c r="C70" s="134">
        <f t="shared" ca="1" si="12"/>
        <v>54.644808743169399</v>
      </c>
      <c r="D70" s="82">
        <f t="shared" ca="1" si="13"/>
        <v>0.45355191256830601</v>
      </c>
      <c r="E70" s="134">
        <f t="shared" ca="1" si="10"/>
        <v>13.66120218579235</v>
      </c>
      <c r="F70" s="82">
        <f t="shared" ca="1" si="3"/>
        <v>0.72677595628415304</v>
      </c>
      <c r="G70" s="134">
        <f t="shared" ca="1" si="11"/>
        <v>10.928961748633879</v>
      </c>
      <c r="H70" s="82">
        <f t="shared" ca="1" si="4"/>
        <v>0.45355191256830601</v>
      </c>
      <c r="I70" s="83">
        <f t="shared" ca="1" si="5"/>
        <v>63155.065842515447</v>
      </c>
      <c r="J70" s="83">
        <f t="shared" ca="1" si="14"/>
        <v>70390.6506614112</v>
      </c>
      <c r="K70" s="84">
        <f t="shared" ca="1" si="6"/>
        <v>-52418.704649287836</v>
      </c>
      <c r="L70" s="84">
        <f t="shared" ca="1" si="15"/>
        <v>-56726.835677386611</v>
      </c>
      <c r="M70" s="83">
        <f t="shared" ca="1" si="7"/>
        <v>50828.415300546454</v>
      </c>
      <c r="N70" s="85">
        <f t="shared" ca="1" si="9"/>
        <v>-1590.2893487413821</v>
      </c>
      <c r="O70" s="85">
        <f t="shared" ca="1" si="8"/>
        <v>-5898.4203768401567</v>
      </c>
    </row>
    <row r="71" spans="1:15" x14ac:dyDescent="0.35">
      <c r="A71" s="47">
        <v>17</v>
      </c>
      <c r="B71" s="86">
        <v>43946</v>
      </c>
      <c r="C71" s="134">
        <f t="shared" ca="1" si="12"/>
        <v>54.644808743169399</v>
      </c>
      <c r="D71" s="82">
        <f t="shared" ca="1" si="13"/>
        <v>0.45355191256830601</v>
      </c>
      <c r="E71" s="134">
        <f t="shared" ca="1" si="10"/>
        <v>13.66120218579235</v>
      </c>
      <c r="F71" s="82">
        <f t="shared" ca="1" si="3"/>
        <v>0.72677595628415304</v>
      </c>
      <c r="G71" s="134">
        <f t="shared" ca="1" si="11"/>
        <v>10.928961748633879</v>
      </c>
      <c r="H71" s="82">
        <f t="shared" ca="1" si="4"/>
        <v>0.45355191256830601</v>
      </c>
      <c r="I71" s="83">
        <f t="shared" ca="1" si="5"/>
        <v>63155.065842515447</v>
      </c>
      <c r="J71" s="83">
        <f t="shared" ca="1" si="14"/>
        <v>70390.6506614112</v>
      </c>
      <c r="K71" s="84">
        <f t="shared" ca="1" si="6"/>
        <v>-52418.704649287836</v>
      </c>
      <c r="L71" s="84">
        <f t="shared" ca="1" si="15"/>
        <v>-56726.835677386611</v>
      </c>
      <c r="M71" s="83">
        <f t="shared" ca="1" si="7"/>
        <v>50828.415300546454</v>
      </c>
      <c r="N71" s="85">
        <f t="shared" ca="1" si="9"/>
        <v>-1590.2893487413821</v>
      </c>
      <c r="O71" s="85">
        <f t="shared" ca="1" si="8"/>
        <v>-5898.4203768401567</v>
      </c>
    </row>
    <row r="72" spans="1:15" x14ac:dyDescent="0.35">
      <c r="A72" s="47">
        <v>17</v>
      </c>
      <c r="B72" s="86">
        <v>43947</v>
      </c>
      <c r="C72" s="134">
        <f t="shared" ca="1" si="12"/>
        <v>54.644808743169399</v>
      </c>
      <c r="D72" s="82">
        <f t="shared" ca="1" si="13"/>
        <v>0.45355191256830601</v>
      </c>
      <c r="E72" s="134">
        <f t="shared" ca="1" si="10"/>
        <v>13.66120218579235</v>
      </c>
      <c r="F72" s="82">
        <f t="shared" ca="1" si="3"/>
        <v>0.72677595628415304</v>
      </c>
      <c r="G72" s="134">
        <f t="shared" ca="1" si="11"/>
        <v>10.928961748633879</v>
      </c>
      <c r="H72" s="82">
        <f t="shared" ca="1" si="4"/>
        <v>0.45355191256830601</v>
      </c>
      <c r="I72" s="83">
        <f t="shared" ca="1" si="5"/>
        <v>63155.065842515447</v>
      </c>
      <c r="J72" s="83">
        <f t="shared" ca="1" si="14"/>
        <v>70390.6506614112</v>
      </c>
      <c r="K72" s="84">
        <f t="shared" ca="1" si="6"/>
        <v>-52418.704649287836</v>
      </c>
      <c r="L72" s="84">
        <f t="shared" ca="1" si="15"/>
        <v>-56726.835677386611</v>
      </c>
      <c r="M72" s="83">
        <f t="shared" ca="1" si="7"/>
        <v>50828.415300546454</v>
      </c>
      <c r="N72" s="85">
        <f t="shared" ca="1" si="9"/>
        <v>-1590.2893487413821</v>
      </c>
      <c r="O72" s="85">
        <f t="shared" ca="1" si="8"/>
        <v>-5898.4203768401567</v>
      </c>
    </row>
    <row r="73" spans="1:15" x14ac:dyDescent="0.35">
      <c r="A73" s="47">
        <v>18</v>
      </c>
      <c r="B73" s="86">
        <v>43948</v>
      </c>
      <c r="C73" s="134">
        <f t="shared" ca="1" si="12"/>
        <v>54.644808743169399</v>
      </c>
      <c r="D73" s="82">
        <f t="shared" ca="1" si="13"/>
        <v>0.45355191256830601</v>
      </c>
      <c r="E73" s="134">
        <f t="shared" ca="1" si="10"/>
        <v>13.66120218579235</v>
      </c>
      <c r="F73" s="82">
        <f t="shared" ca="1" si="3"/>
        <v>0.72677595628415304</v>
      </c>
      <c r="G73" s="134">
        <f t="shared" ca="1" si="11"/>
        <v>10.928961748633879</v>
      </c>
      <c r="H73" s="82">
        <f t="shared" ca="1" si="4"/>
        <v>0.45355191256830601</v>
      </c>
      <c r="I73" s="83">
        <f t="shared" ca="1" si="5"/>
        <v>63155.065842515447</v>
      </c>
      <c r="J73" s="83">
        <f t="shared" ca="1" si="14"/>
        <v>70390.6506614112</v>
      </c>
      <c r="K73" s="84">
        <f t="shared" ca="1" si="6"/>
        <v>-52418.704649287836</v>
      </c>
      <c r="L73" s="84">
        <f t="shared" ca="1" si="15"/>
        <v>-56726.835677386611</v>
      </c>
      <c r="M73" s="83">
        <f t="shared" ca="1" si="7"/>
        <v>50828.415300546454</v>
      </c>
      <c r="N73" s="85">
        <f t="shared" ca="1" si="9"/>
        <v>-1590.2893487413821</v>
      </c>
      <c r="O73" s="85">
        <f t="shared" ca="1" si="8"/>
        <v>-5898.4203768401567</v>
      </c>
    </row>
    <row r="74" spans="1:15" x14ac:dyDescent="0.35">
      <c r="A74" s="47">
        <v>18</v>
      </c>
      <c r="B74" s="86">
        <v>43949</v>
      </c>
      <c r="C74" s="134">
        <f t="shared" ca="1" si="12"/>
        <v>54.644808743169399</v>
      </c>
      <c r="D74" s="82">
        <f t="shared" ca="1" si="13"/>
        <v>0.45355191256830601</v>
      </c>
      <c r="E74" s="134">
        <f t="shared" ca="1" si="10"/>
        <v>13.66120218579235</v>
      </c>
      <c r="F74" s="82">
        <f t="shared" ca="1" si="3"/>
        <v>0.72677595628415304</v>
      </c>
      <c r="G74" s="134">
        <f t="shared" ca="1" si="11"/>
        <v>10.928961748633879</v>
      </c>
      <c r="H74" s="82">
        <f t="shared" ca="1" si="4"/>
        <v>0.45355191256830601</v>
      </c>
      <c r="I74" s="83">
        <f t="shared" ca="1" si="5"/>
        <v>63155.065842515447</v>
      </c>
      <c r="J74" s="83">
        <f t="shared" ca="1" si="14"/>
        <v>70390.6506614112</v>
      </c>
      <c r="K74" s="84">
        <f t="shared" ca="1" si="6"/>
        <v>-52418.704649287836</v>
      </c>
      <c r="L74" s="84">
        <f t="shared" ca="1" si="15"/>
        <v>-56726.835677386611</v>
      </c>
      <c r="M74" s="83">
        <f t="shared" ca="1" si="7"/>
        <v>50828.415300546454</v>
      </c>
      <c r="N74" s="85">
        <f t="shared" ca="1" si="9"/>
        <v>-1590.2893487413821</v>
      </c>
      <c r="O74" s="85">
        <f t="shared" ca="1" si="8"/>
        <v>-5898.4203768401567</v>
      </c>
    </row>
    <row r="75" spans="1:15" x14ac:dyDescent="0.35">
      <c r="A75" s="47">
        <v>18</v>
      </c>
      <c r="B75" s="86">
        <v>43950</v>
      </c>
      <c r="C75" s="134">
        <f t="shared" ca="1" si="12"/>
        <v>54.644808743169399</v>
      </c>
      <c r="D75" s="82">
        <f t="shared" ca="1" si="13"/>
        <v>0.45355191256830601</v>
      </c>
      <c r="E75" s="134">
        <f t="shared" ca="1" si="10"/>
        <v>13.66120218579235</v>
      </c>
      <c r="F75" s="82">
        <f t="shared" ca="1" si="3"/>
        <v>0.72677595628415304</v>
      </c>
      <c r="G75" s="134">
        <f t="shared" ca="1" si="11"/>
        <v>10.928961748633879</v>
      </c>
      <c r="H75" s="82">
        <f t="shared" ca="1" si="4"/>
        <v>0.45355191256830601</v>
      </c>
      <c r="I75" s="83">
        <f t="shared" ca="1" si="5"/>
        <v>63155.065842515447</v>
      </c>
      <c r="J75" s="83">
        <f t="shared" ca="1" si="14"/>
        <v>70390.6506614112</v>
      </c>
      <c r="K75" s="84">
        <f t="shared" ca="1" si="6"/>
        <v>-52418.704649287836</v>
      </c>
      <c r="L75" s="84">
        <f t="shared" ca="1" si="15"/>
        <v>-56726.835677386611</v>
      </c>
      <c r="M75" s="83">
        <f t="shared" ca="1" si="7"/>
        <v>50828.415300546454</v>
      </c>
      <c r="N75" s="85">
        <f t="shared" ca="1" si="9"/>
        <v>-1590.2893487413821</v>
      </c>
      <c r="O75" s="85">
        <f t="shared" ca="1" si="8"/>
        <v>-5898.4203768401567</v>
      </c>
    </row>
    <row r="76" spans="1:15" x14ac:dyDescent="0.35">
      <c r="A76" s="47">
        <v>18</v>
      </c>
      <c r="B76" s="86">
        <v>43951</v>
      </c>
      <c r="C76" s="134">
        <f t="shared" ca="1" si="12"/>
        <v>54.644808743169399</v>
      </c>
      <c r="D76" s="82">
        <f t="shared" ca="1" si="13"/>
        <v>0.45355191256830601</v>
      </c>
      <c r="E76" s="134">
        <f t="shared" ca="1" si="10"/>
        <v>13.66120218579235</v>
      </c>
      <c r="F76" s="82">
        <f t="shared" ca="1" si="3"/>
        <v>0.72677595628415304</v>
      </c>
      <c r="G76" s="134">
        <f t="shared" ca="1" si="11"/>
        <v>10.928961748633879</v>
      </c>
      <c r="H76" s="82">
        <f t="shared" ca="1" si="4"/>
        <v>0.45355191256830601</v>
      </c>
      <c r="I76" s="83">
        <f t="shared" ca="1" si="5"/>
        <v>63155.065842515447</v>
      </c>
      <c r="J76" s="83">
        <f t="shared" ca="1" si="14"/>
        <v>70390.6506614112</v>
      </c>
      <c r="K76" s="84">
        <f t="shared" ca="1" si="6"/>
        <v>-52418.704649287836</v>
      </c>
      <c r="L76" s="84">
        <f t="shared" ca="1" si="15"/>
        <v>-56726.835677386611</v>
      </c>
      <c r="M76" s="83">
        <f t="shared" ca="1" si="7"/>
        <v>50828.415300546454</v>
      </c>
      <c r="N76" s="85">
        <f t="shared" ca="1" si="9"/>
        <v>-1590.2893487413821</v>
      </c>
      <c r="O76" s="85">
        <f t="shared" ca="1" si="8"/>
        <v>-5898.4203768401567</v>
      </c>
    </row>
    <row r="77" spans="1:15" x14ac:dyDescent="0.35">
      <c r="A77" s="47">
        <v>18</v>
      </c>
      <c r="B77" s="86">
        <v>43952</v>
      </c>
      <c r="C77" s="134">
        <f t="shared" ca="1" si="12"/>
        <v>54.644808743169399</v>
      </c>
      <c r="D77" s="82">
        <f t="shared" ca="1" si="13"/>
        <v>0.45355191256830601</v>
      </c>
      <c r="E77" s="134">
        <f t="shared" ca="1" si="10"/>
        <v>13.66120218579235</v>
      </c>
      <c r="F77" s="82">
        <f t="shared" ca="1" si="3"/>
        <v>0.72677595628415304</v>
      </c>
      <c r="G77" s="134">
        <f t="shared" ca="1" si="11"/>
        <v>10.928961748633879</v>
      </c>
      <c r="H77" s="82">
        <f t="shared" ca="1" si="4"/>
        <v>0.45355191256830601</v>
      </c>
      <c r="I77" s="83">
        <f t="shared" ca="1" si="5"/>
        <v>63155.065842515447</v>
      </c>
      <c r="J77" s="83">
        <f t="shared" ca="1" si="14"/>
        <v>70390.6506614112</v>
      </c>
      <c r="K77" s="84">
        <f t="shared" ca="1" si="6"/>
        <v>-52418.704649287836</v>
      </c>
      <c r="L77" s="84">
        <f t="shared" ca="1" si="15"/>
        <v>-56726.835677386611</v>
      </c>
      <c r="M77" s="83">
        <f t="shared" ca="1" si="7"/>
        <v>50828.415300546454</v>
      </c>
      <c r="N77" s="85">
        <f t="shared" ca="1" si="9"/>
        <v>-1590.2893487413821</v>
      </c>
      <c r="O77" s="85">
        <f t="shared" ca="1" si="8"/>
        <v>-5898.4203768401567</v>
      </c>
    </row>
    <row r="78" spans="1:15" x14ac:dyDescent="0.35">
      <c r="A78" s="47">
        <v>18</v>
      </c>
      <c r="B78" s="86">
        <v>43953</v>
      </c>
      <c r="C78" s="134">
        <f t="shared" ca="1" si="12"/>
        <v>54.644808743169399</v>
      </c>
      <c r="D78" s="82">
        <f t="shared" ca="1" si="13"/>
        <v>0.45355191256830601</v>
      </c>
      <c r="E78" s="134">
        <f t="shared" ca="1" si="10"/>
        <v>13.66120218579235</v>
      </c>
      <c r="F78" s="82">
        <f t="shared" ca="1" si="3"/>
        <v>0.72677595628415304</v>
      </c>
      <c r="G78" s="134">
        <f t="shared" ca="1" si="11"/>
        <v>10.928961748633879</v>
      </c>
      <c r="H78" s="82">
        <f t="shared" ca="1" si="4"/>
        <v>0.45355191256830601</v>
      </c>
      <c r="I78" s="83">
        <f t="shared" ca="1" si="5"/>
        <v>63155.065842515447</v>
      </c>
      <c r="J78" s="83">
        <f t="shared" ca="1" si="14"/>
        <v>70390.6506614112</v>
      </c>
      <c r="K78" s="84">
        <f t="shared" ca="1" si="6"/>
        <v>-52418.704649287836</v>
      </c>
      <c r="L78" s="84">
        <f t="shared" ca="1" si="15"/>
        <v>-56726.835677386611</v>
      </c>
      <c r="M78" s="83">
        <f t="shared" ca="1" si="7"/>
        <v>50828.415300546454</v>
      </c>
      <c r="N78" s="85">
        <f t="shared" ca="1" si="9"/>
        <v>-1590.2893487413821</v>
      </c>
      <c r="O78" s="85">
        <f t="shared" ca="1" si="8"/>
        <v>-5898.4203768401567</v>
      </c>
    </row>
    <row r="79" spans="1:15" x14ac:dyDescent="0.35">
      <c r="A79" s="47">
        <v>18</v>
      </c>
      <c r="B79" s="86">
        <v>43954</v>
      </c>
      <c r="C79" s="134">
        <f t="shared" ca="1" si="12"/>
        <v>54.644808743169399</v>
      </c>
      <c r="D79" s="82">
        <f t="shared" ca="1" si="13"/>
        <v>0.45355191256830601</v>
      </c>
      <c r="E79" s="134">
        <f t="shared" ca="1" si="10"/>
        <v>13.66120218579235</v>
      </c>
      <c r="F79" s="82">
        <f t="shared" ca="1" si="3"/>
        <v>0.72677595628415304</v>
      </c>
      <c r="G79" s="134">
        <f t="shared" ca="1" si="11"/>
        <v>10.928961748633879</v>
      </c>
      <c r="H79" s="82">
        <f t="shared" ca="1" si="4"/>
        <v>0.45355191256830601</v>
      </c>
      <c r="I79" s="83">
        <f t="shared" ca="1" si="5"/>
        <v>63155.065842515447</v>
      </c>
      <c r="J79" s="83">
        <f t="shared" ca="1" si="14"/>
        <v>70390.6506614112</v>
      </c>
      <c r="K79" s="84">
        <f t="shared" ca="1" si="6"/>
        <v>-52418.704649287836</v>
      </c>
      <c r="L79" s="84">
        <f t="shared" ca="1" si="15"/>
        <v>-56726.835677386611</v>
      </c>
      <c r="M79" s="83">
        <f t="shared" ca="1" si="7"/>
        <v>50828.415300546454</v>
      </c>
      <c r="N79" s="85">
        <f t="shared" ca="1" si="9"/>
        <v>-1590.2893487413821</v>
      </c>
      <c r="O79" s="85">
        <f t="shared" ca="1" si="8"/>
        <v>-5898.4203768401567</v>
      </c>
    </row>
    <row r="80" spans="1:15" x14ac:dyDescent="0.35">
      <c r="A80" s="47">
        <v>19</v>
      </c>
      <c r="B80" s="86">
        <v>43955</v>
      </c>
      <c r="C80" s="134">
        <f t="shared" ca="1" si="12"/>
        <v>54.644808743169399</v>
      </c>
      <c r="D80" s="82">
        <f t="shared" ca="1" si="13"/>
        <v>0.45355191256830601</v>
      </c>
      <c r="E80" s="134">
        <f t="shared" ca="1" si="10"/>
        <v>13.66120218579235</v>
      </c>
      <c r="F80" s="82">
        <f t="shared" ca="1" si="3"/>
        <v>0.72677595628415304</v>
      </c>
      <c r="G80" s="134">
        <f t="shared" ca="1" si="11"/>
        <v>10.928961748633879</v>
      </c>
      <c r="H80" s="82">
        <f t="shared" ca="1" si="4"/>
        <v>0.45355191256830601</v>
      </c>
      <c r="I80" s="83">
        <f t="shared" ca="1" si="5"/>
        <v>63155.065842515447</v>
      </c>
      <c r="J80" s="83">
        <f t="shared" ca="1" si="14"/>
        <v>70390.6506614112</v>
      </c>
      <c r="K80" s="84">
        <f t="shared" ca="1" si="6"/>
        <v>-52418.704649287836</v>
      </c>
      <c r="L80" s="84">
        <f t="shared" ca="1" si="15"/>
        <v>-56726.835677386611</v>
      </c>
      <c r="M80" s="83">
        <f t="shared" ca="1" si="7"/>
        <v>50828.415300546454</v>
      </c>
      <c r="N80" s="85">
        <f t="shared" ca="1" si="9"/>
        <v>-1590.2893487413821</v>
      </c>
      <c r="O80" s="85">
        <f t="shared" ca="1" si="8"/>
        <v>-5898.4203768401567</v>
      </c>
    </row>
    <row r="81" spans="1:15" x14ac:dyDescent="0.35">
      <c r="A81" s="47">
        <v>19</v>
      </c>
      <c r="B81" s="86">
        <v>43956</v>
      </c>
      <c r="C81" s="134">
        <f t="shared" ca="1" si="12"/>
        <v>54.644808743169399</v>
      </c>
      <c r="D81" s="82">
        <f t="shared" ca="1" si="13"/>
        <v>0.45355191256830601</v>
      </c>
      <c r="E81" s="134">
        <f t="shared" ca="1" si="10"/>
        <v>13.66120218579235</v>
      </c>
      <c r="F81" s="82">
        <f t="shared" ca="1" si="3"/>
        <v>0.72677595628415304</v>
      </c>
      <c r="G81" s="134">
        <f t="shared" ca="1" si="11"/>
        <v>10.928961748633879</v>
      </c>
      <c r="H81" s="82">
        <f t="shared" ca="1" si="4"/>
        <v>0.45355191256830601</v>
      </c>
      <c r="I81" s="83">
        <f t="shared" ca="1" si="5"/>
        <v>63155.065842515447</v>
      </c>
      <c r="J81" s="83">
        <f t="shared" ca="1" si="14"/>
        <v>70390.6506614112</v>
      </c>
      <c r="K81" s="84">
        <f t="shared" ca="1" si="6"/>
        <v>-52418.704649287836</v>
      </c>
      <c r="L81" s="84">
        <f t="shared" ca="1" si="15"/>
        <v>-56726.835677386611</v>
      </c>
      <c r="M81" s="83">
        <f t="shared" ca="1" si="7"/>
        <v>50828.415300546454</v>
      </c>
      <c r="N81" s="85">
        <f t="shared" ca="1" si="9"/>
        <v>-1590.2893487413821</v>
      </c>
      <c r="O81" s="85">
        <f t="shared" ca="1" si="8"/>
        <v>-5898.4203768401567</v>
      </c>
    </row>
    <row r="82" spans="1:15" x14ac:dyDescent="0.35">
      <c r="A82" s="47">
        <v>19</v>
      </c>
      <c r="B82" s="86">
        <v>43957</v>
      </c>
      <c r="C82" s="134">
        <f t="shared" ca="1" si="12"/>
        <v>54.644808743169399</v>
      </c>
      <c r="D82" s="82">
        <f t="shared" ca="1" si="13"/>
        <v>0.45355191256830601</v>
      </c>
      <c r="E82" s="134">
        <f t="shared" ca="1" si="10"/>
        <v>13.66120218579235</v>
      </c>
      <c r="F82" s="82">
        <f t="shared" ca="1" si="3"/>
        <v>0.72677595628415304</v>
      </c>
      <c r="G82" s="134">
        <f t="shared" ca="1" si="11"/>
        <v>10.928961748633879</v>
      </c>
      <c r="H82" s="82">
        <f t="shared" ca="1" si="4"/>
        <v>0.45355191256830601</v>
      </c>
      <c r="I82" s="83">
        <f t="shared" ca="1" si="5"/>
        <v>63155.065842515447</v>
      </c>
      <c r="J82" s="83">
        <f t="shared" ca="1" si="14"/>
        <v>70390.6506614112</v>
      </c>
      <c r="K82" s="84">
        <f t="shared" ca="1" si="6"/>
        <v>-52418.704649287836</v>
      </c>
      <c r="L82" s="84">
        <f t="shared" ca="1" si="15"/>
        <v>-56726.835677386611</v>
      </c>
      <c r="M82" s="83">
        <f t="shared" ca="1" si="7"/>
        <v>50828.415300546454</v>
      </c>
      <c r="N82" s="85">
        <f t="shared" ca="1" si="9"/>
        <v>-1590.2893487413821</v>
      </c>
      <c r="O82" s="85">
        <f t="shared" ca="1" si="8"/>
        <v>-5898.4203768401567</v>
      </c>
    </row>
    <row r="83" spans="1:15" x14ac:dyDescent="0.35">
      <c r="A83" s="47">
        <v>19</v>
      </c>
      <c r="B83" s="86">
        <v>43958</v>
      </c>
      <c r="C83" s="134">
        <f t="shared" ca="1" si="12"/>
        <v>54.644808743169399</v>
      </c>
      <c r="D83" s="82">
        <f t="shared" ca="1" si="13"/>
        <v>0.45355191256830601</v>
      </c>
      <c r="E83" s="134">
        <f t="shared" ca="1" si="10"/>
        <v>13.66120218579235</v>
      </c>
      <c r="F83" s="82">
        <f t="shared" ca="1" si="3"/>
        <v>0.72677595628415304</v>
      </c>
      <c r="G83" s="134">
        <f t="shared" ca="1" si="11"/>
        <v>10.928961748633879</v>
      </c>
      <c r="H83" s="82">
        <f t="shared" ca="1" si="4"/>
        <v>0.45355191256830601</v>
      </c>
      <c r="I83" s="83">
        <f t="shared" ca="1" si="5"/>
        <v>63155.065842515447</v>
      </c>
      <c r="J83" s="83">
        <f t="shared" ca="1" si="14"/>
        <v>70390.6506614112</v>
      </c>
      <c r="K83" s="84">
        <f t="shared" ca="1" si="6"/>
        <v>-52418.704649287836</v>
      </c>
      <c r="L83" s="84">
        <f t="shared" ca="1" si="15"/>
        <v>-56726.835677386611</v>
      </c>
      <c r="M83" s="83">
        <f t="shared" ca="1" si="7"/>
        <v>50828.415300546454</v>
      </c>
      <c r="N83" s="85">
        <f t="shared" ca="1" si="9"/>
        <v>-1590.2893487413821</v>
      </c>
      <c r="O83" s="85">
        <f t="shared" ca="1" si="8"/>
        <v>-5898.4203768401567</v>
      </c>
    </row>
    <row r="84" spans="1:15" x14ac:dyDescent="0.35">
      <c r="A84" s="47">
        <v>19</v>
      </c>
      <c r="B84" s="86">
        <v>43959</v>
      </c>
      <c r="C84" s="134">
        <f t="shared" ca="1" si="12"/>
        <v>54.644808743169399</v>
      </c>
      <c r="D84" s="82">
        <f t="shared" ca="1" si="13"/>
        <v>0.45355191256830601</v>
      </c>
      <c r="E84" s="134">
        <f t="shared" ca="1" si="10"/>
        <v>13.66120218579235</v>
      </c>
      <c r="F84" s="82">
        <f t="shared" ca="1" si="3"/>
        <v>0.72677595628415304</v>
      </c>
      <c r="G84" s="134">
        <f t="shared" ca="1" si="11"/>
        <v>10.928961748633879</v>
      </c>
      <c r="H84" s="82">
        <f t="shared" ca="1" si="4"/>
        <v>0.45355191256830601</v>
      </c>
      <c r="I84" s="83">
        <f t="shared" ca="1" si="5"/>
        <v>63155.065842515447</v>
      </c>
      <c r="J84" s="83">
        <f t="shared" ca="1" si="14"/>
        <v>70390.6506614112</v>
      </c>
      <c r="K84" s="84">
        <f t="shared" ca="1" si="6"/>
        <v>-52418.704649287836</v>
      </c>
      <c r="L84" s="84">
        <f t="shared" ca="1" si="15"/>
        <v>-56726.835677386611</v>
      </c>
      <c r="M84" s="83">
        <f t="shared" ca="1" si="7"/>
        <v>50828.415300546454</v>
      </c>
      <c r="N84" s="85">
        <f t="shared" ca="1" si="9"/>
        <v>-1590.2893487413821</v>
      </c>
      <c r="O84" s="85">
        <f t="shared" ca="1" si="8"/>
        <v>-5898.4203768401567</v>
      </c>
    </row>
    <row r="85" spans="1:15" x14ac:dyDescent="0.35">
      <c r="A85" s="47">
        <v>19</v>
      </c>
      <c r="B85" s="86">
        <v>43960</v>
      </c>
      <c r="C85" s="134">
        <f t="shared" ca="1" si="12"/>
        <v>54.644808743169399</v>
      </c>
      <c r="D85" s="82">
        <f t="shared" ca="1" si="13"/>
        <v>0.45355191256830601</v>
      </c>
      <c r="E85" s="134">
        <f t="shared" ca="1" si="10"/>
        <v>13.66120218579235</v>
      </c>
      <c r="F85" s="82">
        <f t="shared" ca="1" si="3"/>
        <v>0.72677595628415304</v>
      </c>
      <c r="G85" s="134">
        <f t="shared" ca="1" si="11"/>
        <v>10.928961748633879</v>
      </c>
      <c r="H85" s="82">
        <f t="shared" ca="1" si="4"/>
        <v>0.45355191256830601</v>
      </c>
      <c r="I85" s="83">
        <f t="shared" ca="1" si="5"/>
        <v>63155.065842515447</v>
      </c>
      <c r="J85" s="83">
        <f t="shared" ca="1" si="14"/>
        <v>70390.6506614112</v>
      </c>
      <c r="K85" s="84">
        <f t="shared" ca="1" si="6"/>
        <v>-52418.704649287836</v>
      </c>
      <c r="L85" s="84">
        <f t="shared" ca="1" si="15"/>
        <v>-56726.835677386611</v>
      </c>
      <c r="M85" s="83">
        <f t="shared" ca="1" si="7"/>
        <v>50828.415300546454</v>
      </c>
      <c r="N85" s="85">
        <f t="shared" ca="1" si="9"/>
        <v>-1590.2893487413821</v>
      </c>
      <c r="O85" s="85">
        <f t="shared" ca="1" si="8"/>
        <v>-5898.4203768401567</v>
      </c>
    </row>
    <row r="86" spans="1:15" x14ac:dyDescent="0.35">
      <c r="A86" s="47">
        <v>19</v>
      </c>
      <c r="B86" s="86">
        <v>43961</v>
      </c>
      <c r="C86" s="134">
        <f t="shared" ref="C86:C117" ca="1" si="16">IF(B86&gt;=TODAY(),($D$5/$I$6),"")</f>
        <v>54.644808743169399</v>
      </c>
      <c r="D86" s="82">
        <f t="shared" ca="1" si="13"/>
        <v>0.45355191256830601</v>
      </c>
      <c r="E86" s="134">
        <f t="shared" ca="1" si="10"/>
        <v>13.66120218579235</v>
      </c>
      <c r="F86" s="82">
        <f t="shared" ca="1" si="3"/>
        <v>0.72677595628415304</v>
      </c>
      <c r="G86" s="134">
        <f t="shared" ca="1" si="11"/>
        <v>10.928961748633879</v>
      </c>
      <c r="H86" s="82">
        <f t="shared" ca="1" si="4"/>
        <v>0.45355191256830601</v>
      </c>
      <c r="I86" s="83">
        <f t="shared" ca="1" si="5"/>
        <v>63155.065842515447</v>
      </c>
      <c r="J86" s="83">
        <f t="shared" ca="1" si="14"/>
        <v>70390.6506614112</v>
      </c>
      <c r="K86" s="84">
        <f t="shared" ca="1" si="6"/>
        <v>-52418.704649287836</v>
      </c>
      <c r="L86" s="84">
        <f t="shared" ca="1" si="15"/>
        <v>-56726.835677386611</v>
      </c>
      <c r="M86" s="83">
        <f t="shared" ca="1" si="7"/>
        <v>50828.415300546454</v>
      </c>
      <c r="N86" s="85">
        <f t="shared" ca="1" si="9"/>
        <v>-1590.2893487413821</v>
      </c>
      <c r="O86" s="85">
        <f t="shared" ca="1" si="8"/>
        <v>-5898.4203768401567</v>
      </c>
    </row>
    <row r="87" spans="1:15" x14ac:dyDescent="0.35">
      <c r="A87" s="47">
        <v>20</v>
      </c>
      <c r="B87" s="86">
        <v>43962</v>
      </c>
      <c r="C87" s="134">
        <f t="shared" ca="1" si="16"/>
        <v>54.644808743169399</v>
      </c>
      <c r="D87" s="82">
        <f t="shared" ca="1" si="13"/>
        <v>0.45355191256830601</v>
      </c>
      <c r="E87" s="134">
        <f t="shared" ca="1" si="10"/>
        <v>13.66120218579235</v>
      </c>
      <c r="F87" s="82">
        <f t="shared" ca="1" si="3"/>
        <v>0.72677595628415304</v>
      </c>
      <c r="G87" s="134">
        <f t="shared" ca="1" si="11"/>
        <v>10.928961748633879</v>
      </c>
      <c r="H87" s="82">
        <f t="shared" ca="1" si="4"/>
        <v>0.45355191256830601</v>
      </c>
      <c r="I87" s="83">
        <f t="shared" ca="1" si="5"/>
        <v>63155.065842515447</v>
      </c>
      <c r="J87" s="83">
        <f t="shared" ca="1" si="14"/>
        <v>70390.6506614112</v>
      </c>
      <c r="K87" s="84">
        <f t="shared" ca="1" si="6"/>
        <v>-52418.704649287836</v>
      </c>
      <c r="L87" s="84">
        <f t="shared" ca="1" si="15"/>
        <v>-56726.835677386611</v>
      </c>
      <c r="M87" s="83">
        <f t="shared" ca="1" si="7"/>
        <v>50828.415300546454</v>
      </c>
      <c r="N87" s="85">
        <f t="shared" ca="1" si="9"/>
        <v>-1590.2893487413821</v>
      </c>
      <c r="O87" s="85">
        <f t="shared" ca="1" si="8"/>
        <v>-5898.4203768401567</v>
      </c>
    </row>
    <row r="88" spans="1:15" x14ac:dyDescent="0.35">
      <c r="A88" s="47">
        <v>20</v>
      </c>
      <c r="B88" s="86">
        <v>43963</v>
      </c>
      <c r="C88" s="134">
        <f t="shared" ca="1" si="16"/>
        <v>54.644808743169399</v>
      </c>
      <c r="D88" s="82">
        <f t="shared" ca="1" si="13"/>
        <v>0.45355191256830601</v>
      </c>
      <c r="E88" s="134">
        <f t="shared" ca="1" si="10"/>
        <v>13.66120218579235</v>
      </c>
      <c r="F88" s="82">
        <f t="shared" ca="1" si="3"/>
        <v>0.72677595628415304</v>
      </c>
      <c r="G88" s="134">
        <f t="shared" ca="1" si="11"/>
        <v>10.928961748633879</v>
      </c>
      <c r="H88" s="82">
        <f t="shared" ca="1" si="4"/>
        <v>0.45355191256830601</v>
      </c>
      <c r="I88" s="83">
        <f t="shared" ca="1" si="5"/>
        <v>63155.065842515447</v>
      </c>
      <c r="J88" s="83">
        <f t="shared" ca="1" si="14"/>
        <v>70390.6506614112</v>
      </c>
      <c r="K88" s="84">
        <f t="shared" ca="1" si="6"/>
        <v>-52418.704649287836</v>
      </c>
      <c r="L88" s="84">
        <f t="shared" ca="1" si="15"/>
        <v>-56726.835677386611</v>
      </c>
      <c r="M88" s="83">
        <f t="shared" ca="1" si="7"/>
        <v>50828.415300546454</v>
      </c>
      <c r="N88" s="85">
        <f t="shared" ref="N88:N119" ca="1" si="17">$M88+$K88</f>
        <v>-1590.2893487413821</v>
      </c>
      <c r="O88" s="85">
        <f t="shared" ref="O88:O119" ca="1" si="18">$M88+$L88</f>
        <v>-5898.4203768401567</v>
      </c>
    </row>
    <row r="89" spans="1:15" x14ac:dyDescent="0.35">
      <c r="A89" s="47">
        <v>20</v>
      </c>
      <c r="B89" s="86">
        <v>43964</v>
      </c>
      <c r="C89" s="134">
        <f t="shared" ca="1" si="16"/>
        <v>54.644808743169399</v>
      </c>
      <c r="D89" s="82">
        <f t="shared" ca="1" si="13"/>
        <v>0.45355191256830601</v>
      </c>
      <c r="E89" s="134">
        <f t="shared" ca="1" si="10"/>
        <v>13.66120218579235</v>
      </c>
      <c r="F89" s="82">
        <f t="shared" ca="1" si="3"/>
        <v>0.72677595628415304</v>
      </c>
      <c r="G89" s="134">
        <f t="shared" ca="1" si="11"/>
        <v>10.928961748633879</v>
      </c>
      <c r="H89" s="82">
        <f t="shared" ca="1" si="4"/>
        <v>0.45355191256830601</v>
      </c>
      <c r="I89" s="83">
        <f t="shared" ca="1" si="5"/>
        <v>63155.065842515447</v>
      </c>
      <c r="J89" s="83">
        <f t="shared" ca="1" si="14"/>
        <v>70390.6506614112</v>
      </c>
      <c r="K89" s="84">
        <f t="shared" ca="1" si="6"/>
        <v>-52418.704649287836</v>
      </c>
      <c r="L89" s="84">
        <f t="shared" ca="1" si="15"/>
        <v>-56726.835677386611</v>
      </c>
      <c r="M89" s="83">
        <f t="shared" ca="1" si="7"/>
        <v>50828.415300546454</v>
      </c>
      <c r="N89" s="85">
        <f t="shared" ca="1" si="17"/>
        <v>-1590.2893487413821</v>
      </c>
      <c r="O89" s="85">
        <f t="shared" ca="1" si="18"/>
        <v>-5898.4203768401567</v>
      </c>
    </row>
    <row r="90" spans="1:15" x14ac:dyDescent="0.35">
      <c r="A90" s="47">
        <v>20</v>
      </c>
      <c r="B90" s="86">
        <v>43965</v>
      </c>
      <c r="C90" s="134">
        <f t="shared" ca="1" si="16"/>
        <v>54.644808743169399</v>
      </c>
      <c r="D90" s="82">
        <f t="shared" ca="1" si="13"/>
        <v>0.45355191256830601</v>
      </c>
      <c r="E90" s="134">
        <f t="shared" ca="1" si="10"/>
        <v>13.66120218579235</v>
      </c>
      <c r="F90" s="82">
        <f t="shared" ca="1" si="3"/>
        <v>0.72677595628415304</v>
      </c>
      <c r="G90" s="134">
        <f t="shared" ca="1" si="11"/>
        <v>10.928961748633879</v>
      </c>
      <c r="H90" s="82">
        <f t="shared" ca="1" si="4"/>
        <v>0.45355191256830601</v>
      </c>
      <c r="I90" s="83">
        <f t="shared" ca="1" si="5"/>
        <v>63155.065842515447</v>
      </c>
      <c r="J90" s="83">
        <f t="shared" ca="1" si="14"/>
        <v>70390.6506614112</v>
      </c>
      <c r="K90" s="84">
        <f t="shared" ca="1" si="6"/>
        <v>-52418.704649287836</v>
      </c>
      <c r="L90" s="84">
        <f t="shared" ca="1" si="15"/>
        <v>-56726.835677386611</v>
      </c>
      <c r="M90" s="83">
        <f t="shared" ca="1" si="7"/>
        <v>50828.415300546454</v>
      </c>
      <c r="N90" s="85">
        <f t="shared" ca="1" si="17"/>
        <v>-1590.2893487413821</v>
      </c>
      <c r="O90" s="85">
        <f t="shared" ca="1" si="18"/>
        <v>-5898.4203768401567</v>
      </c>
    </row>
    <row r="91" spans="1:15" x14ac:dyDescent="0.35">
      <c r="A91" s="47">
        <v>20</v>
      </c>
      <c r="B91" s="86">
        <v>43966</v>
      </c>
      <c r="C91" s="134">
        <f t="shared" ca="1" si="16"/>
        <v>54.644808743169399</v>
      </c>
      <c r="D91" s="82">
        <f t="shared" ca="1" si="13"/>
        <v>0.45355191256830601</v>
      </c>
      <c r="E91" s="134">
        <f t="shared" ca="1" si="10"/>
        <v>13.66120218579235</v>
      </c>
      <c r="F91" s="82">
        <f t="shared" ca="1" si="3"/>
        <v>0.72677595628415304</v>
      </c>
      <c r="G91" s="134">
        <f t="shared" ca="1" si="11"/>
        <v>10.928961748633879</v>
      </c>
      <c r="H91" s="82">
        <f t="shared" ca="1" si="4"/>
        <v>0.45355191256830601</v>
      </c>
      <c r="I91" s="83">
        <f t="shared" ca="1" si="5"/>
        <v>63155.065842515447</v>
      </c>
      <c r="J91" s="83">
        <f t="shared" ca="1" si="14"/>
        <v>70390.6506614112</v>
      </c>
      <c r="K91" s="84">
        <f t="shared" ca="1" si="6"/>
        <v>-52418.704649287836</v>
      </c>
      <c r="L91" s="84">
        <f t="shared" ca="1" si="15"/>
        <v>-56726.835677386611</v>
      </c>
      <c r="M91" s="83">
        <f t="shared" ca="1" si="7"/>
        <v>50828.415300546454</v>
      </c>
      <c r="N91" s="85">
        <f t="shared" ca="1" si="17"/>
        <v>-1590.2893487413821</v>
      </c>
      <c r="O91" s="85">
        <f t="shared" ca="1" si="18"/>
        <v>-5898.4203768401567</v>
      </c>
    </row>
    <row r="92" spans="1:15" x14ac:dyDescent="0.35">
      <c r="A92" s="47">
        <v>20</v>
      </c>
      <c r="B92" s="86">
        <v>43967</v>
      </c>
      <c r="C92" s="134">
        <f t="shared" ca="1" si="16"/>
        <v>54.644808743169399</v>
      </c>
      <c r="D92" s="82">
        <f t="shared" ca="1" si="13"/>
        <v>0.45355191256830601</v>
      </c>
      <c r="E92" s="134">
        <f t="shared" ca="1" si="10"/>
        <v>13.66120218579235</v>
      </c>
      <c r="F92" s="82">
        <f t="shared" ca="1" si="3"/>
        <v>0.72677595628415304</v>
      </c>
      <c r="G92" s="134">
        <f t="shared" ca="1" si="11"/>
        <v>10.928961748633879</v>
      </c>
      <c r="H92" s="82">
        <f t="shared" ca="1" si="4"/>
        <v>0.45355191256830601</v>
      </c>
      <c r="I92" s="83">
        <f t="shared" ca="1" si="5"/>
        <v>63155.065842515447</v>
      </c>
      <c r="J92" s="83">
        <f t="shared" ca="1" si="14"/>
        <v>70390.6506614112</v>
      </c>
      <c r="K92" s="84">
        <f t="shared" ca="1" si="6"/>
        <v>-52418.704649287836</v>
      </c>
      <c r="L92" s="84">
        <f t="shared" ca="1" si="15"/>
        <v>-56726.835677386611</v>
      </c>
      <c r="M92" s="83">
        <f t="shared" ca="1" si="7"/>
        <v>50828.415300546454</v>
      </c>
      <c r="N92" s="85">
        <f t="shared" ca="1" si="17"/>
        <v>-1590.2893487413821</v>
      </c>
      <c r="O92" s="85">
        <f t="shared" ca="1" si="18"/>
        <v>-5898.4203768401567</v>
      </c>
    </row>
    <row r="93" spans="1:15" x14ac:dyDescent="0.35">
      <c r="A93" s="47">
        <v>20</v>
      </c>
      <c r="B93" s="86">
        <v>43968</v>
      </c>
      <c r="C93" s="134">
        <f t="shared" ca="1" si="16"/>
        <v>54.644808743169399</v>
      </c>
      <c r="D93" s="82">
        <f t="shared" ca="1" si="13"/>
        <v>0.45355191256830601</v>
      </c>
      <c r="E93" s="134">
        <f t="shared" ca="1" si="10"/>
        <v>13.66120218579235</v>
      </c>
      <c r="F93" s="82">
        <f t="shared" ca="1" si="3"/>
        <v>0.72677595628415304</v>
      </c>
      <c r="G93" s="134">
        <f t="shared" ca="1" si="11"/>
        <v>10.928961748633879</v>
      </c>
      <c r="H93" s="82">
        <f t="shared" ca="1" si="4"/>
        <v>0.45355191256830601</v>
      </c>
      <c r="I93" s="83">
        <f t="shared" ca="1" si="5"/>
        <v>63155.065842515447</v>
      </c>
      <c r="J93" s="83">
        <f t="shared" ca="1" si="14"/>
        <v>70390.6506614112</v>
      </c>
      <c r="K93" s="84">
        <f t="shared" ca="1" si="6"/>
        <v>-52418.704649287836</v>
      </c>
      <c r="L93" s="84">
        <f t="shared" ca="1" si="15"/>
        <v>-56726.835677386611</v>
      </c>
      <c r="M93" s="83">
        <f t="shared" ca="1" si="7"/>
        <v>50828.415300546454</v>
      </c>
      <c r="N93" s="85">
        <f t="shared" ca="1" si="17"/>
        <v>-1590.2893487413821</v>
      </c>
      <c r="O93" s="85">
        <f t="shared" ca="1" si="18"/>
        <v>-5898.4203768401567</v>
      </c>
    </row>
    <row r="94" spans="1:15" x14ac:dyDescent="0.35">
      <c r="A94" s="47">
        <v>21</v>
      </c>
      <c r="B94" s="86">
        <v>43969</v>
      </c>
      <c r="C94" s="134">
        <f t="shared" ca="1" si="16"/>
        <v>54.644808743169399</v>
      </c>
      <c r="D94" s="82">
        <f t="shared" ca="1" si="13"/>
        <v>0.45355191256830601</v>
      </c>
      <c r="E94" s="134">
        <f t="shared" ca="1" si="10"/>
        <v>13.66120218579235</v>
      </c>
      <c r="F94" s="82">
        <f t="shared" ca="1" si="3"/>
        <v>0.72677595628415304</v>
      </c>
      <c r="G94" s="134">
        <f t="shared" ca="1" si="11"/>
        <v>10.928961748633879</v>
      </c>
      <c r="H94" s="82">
        <f t="shared" ca="1" si="4"/>
        <v>0.45355191256830601</v>
      </c>
      <c r="I94" s="83">
        <f t="shared" ca="1" si="5"/>
        <v>63155.065842515447</v>
      </c>
      <c r="J94" s="83">
        <f t="shared" ca="1" si="14"/>
        <v>70390.6506614112</v>
      </c>
      <c r="K94" s="84">
        <f t="shared" ca="1" si="6"/>
        <v>-52418.704649287836</v>
      </c>
      <c r="L94" s="84">
        <f t="shared" ca="1" si="15"/>
        <v>-56726.835677386611</v>
      </c>
      <c r="M94" s="83">
        <f t="shared" ca="1" si="7"/>
        <v>50828.415300546454</v>
      </c>
      <c r="N94" s="85">
        <f t="shared" ca="1" si="17"/>
        <v>-1590.2893487413821</v>
      </c>
      <c r="O94" s="85">
        <f t="shared" ca="1" si="18"/>
        <v>-5898.4203768401567</v>
      </c>
    </row>
    <row r="95" spans="1:15" x14ac:dyDescent="0.35">
      <c r="A95" s="47">
        <v>21</v>
      </c>
      <c r="B95" s="86">
        <v>43970</v>
      </c>
      <c r="C95" s="134">
        <f t="shared" ca="1" si="16"/>
        <v>54.644808743169399</v>
      </c>
      <c r="D95" s="82">
        <f t="shared" ref="D95:D126" ca="1" si="19">-IFERROR((C95-$D$4)/$D$4,0)</f>
        <v>0.45355191256830601</v>
      </c>
      <c r="E95" s="134">
        <f t="shared" ca="1" si="10"/>
        <v>13.66120218579235</v>
      </c>
      <c r="F95" s="82">
        <f t="shared" ca="1" si="3"/>
        <v>0.72677595628415304</v>
      </c>
      <c r="G95" s="134">
        <f t="shared" ca="1" si="11"/>
        <v>10.928961748633879</v>
      </c>
      <c r="H95" s="82">
        <f t="shared" ca="1" si="4"/>
        <v>0.45355191256830601</v>
      </c>
      <c r="I95" s="83">
        <f t="shared" ca="1" si="5"/>
        <v>63155.065842515447</v>
      </c>
      <c r="J95" s="83">
        <f t="shared" ref="J95:J126" ca="1" si="20">(($D$15+$D$16)*(1-D95)+($D$17*(1-$I$4))+($D$18*(1-F95))+($D$19*(1-H95)))/$I$6</f>
        <v>70390.6506614112</v>
      </c>
      <c r="K95" s="84">
        <f t="shared" ca="1" si="6"/>
        <v>-52418.704649287836</v>
      </c>
      <c r="L95" s="84">
        <f t="shared" ca="1" si="15"/>
        <v>-56726.835677386611</v>
      </c>
      <c r="M95" s="83">
        <f t="shared" ca="1" si="7"/>
        <v>50828.415300546454</v>
      </c>
      <c r="N95" s="85">
        <f t="shared" ca="1" si="17"/>
        <v>-1590.2893487413821</v>
      </c>
      <c r="O95" s="85">
        <f t="shared" ca="1" si="18"/>
        <v>-5898.4203768401567</v>
      </c>
    </row>
    <row r="96" spans="1:15" x14ac:dyDescent="0.35">
      <c r="A96" s="47">
        <v>21</v>
      </c>
      <c r="B96" s="86">
        <v>43971</v>
      </c>
      <c r="C96" s="134">
        <f t="shared" ca="1" si="16"/>
        <v>54.644808743169399</v>
      </c>
      <c r="D96" s="82">
        <f t="shared" ca="1" si="19"/>
        <v>0.45355191256830601</v>
      </c>
      <c r="E96" s="134">
        <f t="shared" ca="1" si="10"/>
        <v>13.66120218579235</v>
      </c>
      <c r="F96" s="82">
        <f t="shared" ref="F96:F159" ca="1" si="21">-IFERROR((E96-$D$6)/$D$6,0)</f>
        <v>0.72677595628415304</v>
      </c>
      <c r="G96" s="134">
        <f t="shared" ca="1" si="11"/>
        <v>10.928961748633879</v>
      </c>
      <c r="H96" s="82">
        <f t="shared" ref="H96:H159" ca="1" si="22">-IFERROR((G96-$D$8)/$D$8,0)</f>
        <v>0.45355191256830601</v>
      </c>
      <c r="I96" s="83">
        <f t="shared" ref="I96:I159" ca="1" si="23">$D$22*(1-$D96)</f>
        <v>63155.065842515447</v>
      </c>
      <c r="J96" s="83">
        <f t="shared" ca="1" si="20"/>
        <v>70390.6506614112</v>
      </c>
      <c r="K96" s="84">
        <f t="shared" ref="K96:K159" ca="1" si="24">$I96-$D$22</f>
        <v>-52418.704649287836</v>
      </c>
      <c r="L96" s="84">
        <f t="shared" ref="L96:L159" ca="1" si="25">$J96-$D$23</f>
        <v>-56726.835677386611</v>
      </c>
      <c r="M96" s="83">
        <f t="shared" ref="M96:M159" ca="1" si="26">(($D$4-C96)+($D$6-E96)+($D$8-G96))*$I$5</f>
        <v>50828.415300546454</v>
      </c>
      <c r="N96" s="85">
        <f t="shared" ca="1" si="17"/>
        <v>-1590.2893487413821</v>
      </c>
      <c r="O96" s="85">
        <f t="shared" ca="1" si="18"/>
        <v>-5898.4203768401567</v>
      </c>
    </row>
    <row r="97" spans="1:15" x14ac:dyDescent="0.35">
      <c r="A97" s="47">
        <v>21</v>
      </c>
      <c r="B97" s="86">
        <v>43972</v>
      </c>
      <c r="C97" s="134">
        <f t="shared" ca="1" si="16"/>
        <v>54.644808743169399</v>
      </c>
      <c r="D97" s="82">
        <f t="shared" ca="1" si="19"/>
        <v>0.45355191256830601</v>
      </c>
      <c r="E97" s="134">
        <f t="shared" ca="1" si="10"/>
        <v>13.66120218579235</v>
      </c>
      <c r="F97" s="82">
        <f t="shared" ca="1" si="21"/>
        <v>0.72677595628415304</v>
      </c>
      <c r="G97" s="134">
        <f t="shared" ca="1" si="11"/>
        <v>10.928961748633879</v>
      </c>
      <c r="H97" s="82">
        <f t="shared" ca="1" si="22"/>
        <v>0.45355191256830601</v>
      </c>
      <c r="I97" s="83">
        <f t="shared" ca="1" si="23"/>
        <v>63155.065842515447</v>
      </c>
      <c r="J97" s="83">
        <f t="shared" ca="1" si="20"/>
        <v>70390.6506614112</v>
      </c>
      <c r="K97" s="84">
        <f t="shared" ca="1" si="24"/>
        <v>-52418.704649287836</v>
      </c>
      <c r="L97" s="84">
        <f t="shared" ca="1" si="25"/>
        <v>-56726.835677386611</v>
      </c>
      <c r="M97" s="83">
        <f t="shared" ca="1" si="26"/>
        <v>50828.415300546454</v>
      </c>
      <c r="N97" s="85">
        <f t="shared" ca="1" si="17"/>
        <v>-1590.2893487413821</v>
      </c>
      <c r="O97" s="85">
        <f t="shared" ca="1" si="18"/>
        <v>-5898.4203768401567</v>
      </c>
    </row>
    <row r="98" spans="1:15" x14ac:dyDescent="0.35">
      <c r="A98" s="47">
        <v>21</v>
      </c>
      <c r="B98" s="86">
        <v>43973</v>
      </c>
      <c r="C98" s="134">
        <f t="shared" ca="1" si="16"/>
        <v>54.644808743169399</v>
      </c>
      <c r="D98" s="82">
        <f t="shared" ca="1" si="19"/>
        <v>0.45355191256830601</v>
      </c>
      <c r="E98" s="134">
        <f t="shared" ca="1" si="10"/>
        <v>13.66120218579235</v>
      </c>
      <c r="F98" s="82">
        <f t="shared" ca="1" si="21"/>
        <v>0.72677595628415304</v>
      </c>
      <c r="G98" s="134">
        <f t="shared" ca="1" si="11"/>
        <v>10.928961748633879</v>
      </c>
      <c r="H98" s="82">
        <f t="shared" ca="1" si="22"/>
        <v>0.45355191256830601</v>
      </c>
      <c r="I98" s="83">
        <f t="shared" ca="1" si="23"/>
        <v>63155.065842515447</v>
      </c>
      <c r="J98" s="83">
        <f t="shared" ca="1" si="20"/>
        <v>70390.6506614112</v>
      </c>
      <c r="K98" s="84">
        <f t="shared" ca="1" si="24"/>
        <v>-52418.704649287836</v>
      </c>
      <c r="L98" s="84">
        <f t="shared" ca="1" si="25"/>
        <v>-56726.835677386611</v>
      </c>
      <c r="M98" s="83">
        <f t="shared" ca="1" si="26"/>
        <v>50828.415300546454</v>
      </c>
      <c r="N98" s="85">
        <f t="shared" ca="1" si="17"/>
        <v>-1590.2893487413821</v>
      </c>
      <c r="O98" s="85">
        <f t="shared" ca="1" si="18"/>
        <v>-5898.4203768401567</v>
      </c>
    </row>
    <row r="99" spans="1:15" x14ac:dyDescent="0.35">
      <c r="A99" s="47">
        <v>21</v>
      </c>
      <c r="B99" s="86">
        <v>43974</v>
      </c>
      <c r="C99" s="134">
        <f t="shared" ca="1" si="16"/>
        <v>54.644808743169399</v>
      </c>
      <c r="D99" s="82">
        <f t="shared" ca="1" si="19"/>
        <v>0.45355191256830601</v>
      </c>
      <c r="E99" s="134">
        <f t="shared" ca="1" si="10"/>
        <v>13.66120218579235</v>
      </c>
      <c r="F99" s="82">
        <f t="shared" ca="1" si="21"/>
        <v>0.72677595628415304</v>
      </c>
      <c r="G99" s="134">
        <f t="shared" ca="1" si="11"/>
        <v>10.928961748633879</v>
      </c>
      <c r="H99" s="82">
        <f t="shared" ca="1" si="22"/>
        <v>0.45355191256830601</v>
      </c>
      <c r="I99" s="83">
        <f t="shared" ca="1" si="23"/>
        <v>63155.065842515447</v>
      </c>
      <c r="J99" s="83">
        <f t="shared" ca="1" si="20"/>
        <v>70390.6506614112</v>
      </c>
      <c r="K99" s="84">
        <f t="shared" ca="1" si="24"/>
        <v>-52418.704649287836</v>
      </c>
      <c r="L99" s="84">
        <f t="shared" ca="1" si="25"/>
        <v>-56726.835677386611</v>
      </c>
      <c r="M99" s="83">
        <f t="shared" ca="1" si="26"/>
        <v>50828.415300546454</v>
      </c>
      <c r="N99" s="85">
        <f t="shared" ca="1" si="17"/>
        <v>-1590.2893487413821</v>
      </c>
      <c r="O99" s="85">
        <f t="shared" ca="1" si="18"/>
        <v>-5898.4203768401567</v>
      </c>
    </row>
    <row r="100" spans="1:15" x14ac:dyDescent="0.35">
      <c r="A100" s="47">
        <v>21</v>
      </c>
      <c r="B100" s="86">
        <v>43975</v>
      </c>
      <c r="C100" s="134">
        <f t="shared" ca="1" si="16"/>
        <v>54.644808743169399</v>
      </c>
      <c r="D100" s="82">
        <f t="shared" ca="1" si="19"/>
        <v>0.45355191256830601</v>
      </c>
      <c r="E100" s="134">
        <f t="shared" ca="1" si="10"/>
        <v>13.66120218579235</v>
      </c>
      <c r="F100" s="82">
        <f t="shared" ca="1" si="21"/>
        <v>0.72677595628415304</v>
      </c>
      <c r="G100" s="134">
        <f t="shared" ca="1" si="11"/>
        <v>10.928961748633879</v>
      </c>
      <c r="H100" s="82">
        <f t="shared" ca="1" si="22"/>
        <v>0.45355191256830601</v>
      </c>
      <c r="I100" s="83">
        <f t="shared" ca="1" si="23"/>
        <v>63155.065842515447</v>
      </c>
      <c r="J100" s="83">
        <f t="shared" ca="1" si="20"/>
        <v>70390.6506614112</v>
      </c>
      <c r="K100" s="84">
        <f t="shared" ca="1" si="24"/>
        <v>-52418.704649287836</v>
      </c>
      <c r="L100" s="84">
        <f t="shared" ca="1" si="25"/>
        <v>-56726.835677386611</v>
      </c>
      <c r="M100" s="83">
        <f t="shared" ca="1" si="26"/>
        <v>50828.415300546454</v>
      </c>
      <c r="N100" s="85">
        <f t="shared" ca="1" si="17"/>
        <v>-1590.2893487413821</v>
      </c>
      <c r="O100" s="85">
        <f t="shared" ca="1" si="18"/>
        <v>-5898.4203768401567</v>
      </c>
    </row>
    <row r="101" spans="1:15" x14ac:dyDescent="0.35">
      <c r="A101" s="47">
        <v>22</v>
      </c>
      <c r="B101" s="86">
        <v>43976</v>
      </c>
      <c r="C101" s="134">
        <f t="shared" ca="1" si="16"/>
        <v>54.644808743169399</v>
      </c>
      <c r="D101" s="82">
        <f t="shared" ca="1" si="19"/>
        <v>0.45355191256830601</v>
      </c>
      <c r="E101" s="134">
        <f t="shared" ca="1" si="10"/>
        <v>13.66120218579235</v>
      </c>
      <c r="F101" s="82">
        <f t="shared" ca="1" si="21"/>
        <v>0.72677595628415304</v>
      </c>
      <c r="G101" s="134">
        <f t="shared" ca="1" si="11"/>
        <v>10.928961748633879</v>
      </c>
      <c r="H101" s="82">
        <f t="shared" ca="1" si="22"/>
        <v>0.45355191256830601</v>
      </c>
      <c r="I101" s="83">
        <f t="shared" ca="1" si="23"/>
        <v>63155.065842515447</v>
      </c>
      <c r="J101" s="83">
        <f t="shared" ca="1" si="20"/>
        <v>70390.6506614112</v>
      </c>
      <c r="K101" s="84">
        <f t="shared" ca="1" si="24"/>
        <v>-52418.704649287836</v>
      </c>
      <c r="L101" s="84">
        <f t="shared" ca="1" si="25"/>
        <v>-56726.835677386611</v>
      </c>
      <c r="M101" s="83">
        <f t="shared" ca="1" si="26"/>
        <v>50828.415300546454</v>
      </c>
      <c r="N101" s="85">
        <f t="shared" ca="1" si="17"/>
        <v>-1590.2893487413821</v>
      </c>
      <c r="O101" s="85">
        <f t="shared" ca="1" si="18"/>
        <v>-5898.4203768401567</v>
      </c>
    </row>
    <row r="102" spans="1:15" x14ac:dyDescent="0.35">
      <c r="A102" s="47">
        <v>22</v>
      </c>
      <c r="B102" s="86">
        <v>43977</v>
      </c>
      <c r="C102" s="134">
        <f t="shared" ca="1" si="16"/>
        <v>54.644808743169399</v>
      </c>
      <c r="D102" s="82">
        <f t="shared" ca="1" si="19"/>
        <v>0.45355191256830601</v>
      </c>
      <c r="E102" s="134">
        <f t="shared" ca="1" si="10"/>
        <v>13.66120218579235</v>
      </c>
      <c r="F102" s="82">
        <f t="shared" ca="1" si="21"/>
        <v>0.72677595628415304</v>
      </c>
      <c r="G102" s="134">
        <f t="shared" ca="1" si="11"/>
        <v>10.928961748633879</v>
      </c>
      <c r="H102" s="82">
        <f t="shared" ca="1" si="22"/>
        <v>0.45355191256830601</v>
      </c>
      <c r="I102" s="83">
        <f t="shared" ca="1" si="23"/>
        <v>63155.065842515447</v>
      </c>
      <c r="J102" s="83">
        <f t="shared" ca="1" si="20"/>
        <v>70390.6506614112</v>
      </c>
      <c r="K102" s="84">
        <f t="shared" ca="1" si="24"/>
        <v>-52418.704649287836</v>
      </c>
      <c r="L102" s="84">
        <f t="shared" ca="1" si="25"/>
        <v>-56726.835677386611</v>
      </c>
      <c r="M102" s="83">
        <f t="shared" ca="1" si="26"/>
        <v>50828.415300546454</v>
      </c>
      <c r="N102" s="85">
        <f t="shared" ca="1" si="17"/>
        <v>-1590.2893487413821</v>
      </c>
      <c r="O102" s="85">
        <f t="shared" ca="1" si="18"/>
        <v>-5898.4203768401567</v>
      </c>
    </row>
    <row r="103" spans="1:15" x14ac:dyDescent="0.35">
      <c r="A103" s="47">
        <v>22</v>
      </c>
      <c r="B103" s="86">
        <v>43978</v>
      </c>
      <c r="C103" s="134">
        <f t="shared" ca="1" si="16"/>
        <v>54.644808743169399</v>
      </c>
      <c r="D103" s="82">
        <f t="shared" ca="1" si="19"/>
        <v>0.45355191256830601</v>
      </c>
      <c r="E103" s="134">
        <f t="shared" ca="1" si="10"/>
        <v>13.66120218579235</v>
      </c>
      <c r="F103" s="82">
        <f t="shared" ca="1" si="21"/>
        <v>0.72677595628415304</v>
      </c>
      <c r="G103" s="134">
        <f t="shared" ca="1" si="11"/>
        <v>10.928961748633879</v>
      </c>
      <c r="H103" s="82">
        <f t="shared" ca="1" si="22"/>
        <v>0.45355191256830601</v>
      </c>
      <c r="I103" s="83">
        <f t="shared" ca="1" si="23"/>
        <v>63155.065842515447</v>
      </c>
      <c r="J103" s="83">
        <f t="shared" ca="1" si="20"/>
        <v>70390.6506614112</v>
      </c>
      <c r="K103" s="84">
        <f t="shared" ca="1" si="24"/>
        <v>-52418.704649287836</v>
      </c>
      <c r="L103" s="84">
        <f t="shared" ca="1" si="25"/>
        <v>-56726.835677386611</v>
      </c>
      <c r="M103" s="83">
        <f t="shared" ca="1" si="26"/>
        <v>50828.415300546454</v>
      </c>
      <c r="N103" s="85">
        <f t="shared" ca="1" si="17"/>
        <v>-1590.2893487413821</v>
      </c>
      <c r="O103" s="85">
        <f t="shared" ca="1" si="18"/>
        <v>-5898.4203768401567</v>
      </c>
    </row>
    <row r="104" spans="1:15" x14ac:dyDescent="0.35">
      <c r="A104" s="47">
        <v>22</v>
      </c>
      <c r="B104" s="86">
        <v>43979</v>
      </c>
      <c r="C104" s="134">
        <f t="shared" ca="1" si="16"/>
        <v>54.644808743169399</v>
      </c>
      <c r="D104" s="82">
        <f t="shared" ca="1" si="19"/>
        <v>0.45355191256830601</v>
      </c>
      <c r="E104" s="134">
        <f t="shared" ca="1" si="10"/>
        <v>13.66120218579235</v>
      </c>
      <c r="F104" s="82">
        <f t="shared" ca="1" si="21"/>
        <v>0.72677595628415304</v>
      </c>
      <c r="G104" s="134">
        <f t="shared" ca="1" si="11"/>
        <v>10.928961748633879</v>
      </c>
      <c r="H104" s="82">
        <f t="shared" ca="1" si="22"/>
        <v>0.45355191256830601</v>
      </c>
      <c r="I104" s="83">
        <f t="shared" ca="1" si="23"/>
        <v>63155.065842515447</v>
      </c>
      <c r="J104" s="83">
        <f t="shared" ca="1" si="20"/>
        <v>70390.6506614112</v>
      </c>
      <c r="K104" s="84">
        <f t="shared" ca="1" si="24"/>
        <v>-52418.704649287836</v>
      </c>
      <c r="L104" s="84">
        <f t="shared" ca="1" si="25"/>
        <v>-56726.835677386611</v>
      </c>
      <c r="M104" s="83">
        <f t="shared" ca="1" si="26"/>
        <v>50828.415300546454</v>
      </c>
      <c r="N104" s="85">
        <f t="shared" ca="1" si="17"/>
        <v>-1590.2893487413821</v>
      </c>
      <c r="O104" s="85">
        <f t="shared" ca="1" si="18"/>
        <v>-5898.4203768401567</v>
      </c>
    </row>
    <row r="105" spans="1:15" x14ac:dyDescent="0.35">
      <c r="A105" s="47">
        <v>22</v>
      </c>
      <c r="B105" s="86">
        <v>43980</v>
      </c>
      <c r="C105" s="134">
        <f t="shared" ca="1" si="16"/>
        <v>54.644808743169399</v>
      </c>
      <c r="D105" s="82">
        <f t="shared" ca="1" si="19"/>
        <v>0.45355191256830601</v>
      </c>
      <c r="E105" s="134">
        <f t="shared" ca="1" si="10"/>
        <v>13.66120218579235</v>
      </c>
      <c r="F105" s="82">
        <f t="shared" ca="1" si="21"/>
        <v>0.72677595628415304</v>
      </c>
      <c r="G105" s="134">
        <f t="shared" ca="1" si="11"/>
        <v>10.928961748633879</v>
      </c>
      <c r="H105" s="82">
        <f t="shared" ca="1" si="22"/>
        <v>0.45355191256830601</v>
      </c>
      <c r="I105" s="83">
        <f t="shared" ca="1" si="23"/>
        <v>63155.065842515447</v>
      </c>
      <c r="J105" s="83">
        <f t="shared" ca="1" si="20"/>
        <v>70390.6506614112</v>
      </c>
      <c r="K105" s="84">
        <f t="shared" ca="1" si="24"/>
        <v>-52418.704649287836</v>
      </c>
      <c r="L105" s="84">
        <f t="shared" ca="1" si="25"/>
        <v>-56726.835677386611</v>
      </c>
      <c r="M105" s="83">
        <f t="shared" ca="1" si="26"/>
        <v>50828.415300546454</v>
      </c>
      <c r="N105" s="85">
        <f t="shared" ca="1" si="17"/>
        <v>-1590.2893487413821</v>
      </c>
      <c r="O105" s="85">
        <f t="shared" ca="1" si="18"/>
        <v>-5898.4203768401567</v>
      </c>
    </row>
    <row r="106" spans="1:15" x14ac:dyDescent="0.35">
      <c r="A106" s="47">
        <v>22</v>
      </c>
      <c r="B106" s="86">
        <v>43981</v>
      </c>
      <c r="C106" s="134">
        <f t="shared" ca="1" si="16"/>
        <v>54.644808743169399</v>
      </c>
      <c r="D106" s="82">
        <f t="shared" ca="1" si="19"/>
        <v>0.45355191256830601</v>
      </c>
      <c r="E106" s="134">
        <f t="shared" ca="1" si="10"/>
        <v>13.66120218579235</v>
      </c>
      <c r="F106" s="82">
        <f t="shared" ca="1" si="21"/>
        <v>0.72677595628415304</v>
      </c>
      <c r="G106" s="134">
        <f t="shared" ca="1" si="11"/>
        <v>10.928961748633879</v>
      </c>
      <c r="H106" s="82">
        <f t="shared" ca="1" si="22"/>
        <v>0.45355191256830601</v>
      </c>
      <c r="I106" s="83">
        <f t="shared" ca="1" si="23"/>
        <v>63155.065842515447</v>
      </c>
      <c r="J106" s="83">
        <f t="shared" ca="1" si="20"/>
        <v>70390.6506614112</v>
      </c>
      <c r="K106" s="84">
        <f t="shared" ca="1" si="24"/>
        <v>-52418.704649287836</v>
      </c>
      <c r="L106" s="84">
        <f t="shared" ca="1" si="25"/>
        <v>-56726.835677386611</v>
      </c>
      <c r="M106" s="83">
        <f t="shared" ca="1" si="26"/>
        <v>50828.415300546454</v>
      </c>
      <c r="N106" s="85">
        <f t="shared" ca="1" si="17"/>
        <v>-1590.2893487413821</v>
      </c>
      <c r="O106" s="85">
        <f t="shared" ca="1" si="18"/>
        <v>-5898.4203768401567</v>
      </c>
    </row>
    <row r="107" spans="1:15" x14ac:dyDescent="0.35">
      <c r="A107" s="47">
        <v>22</v>
      </c>
      <c r="B107" s="86">
        <v>43982</v>
      </c>
      <c r="C107" s="134">
        <f t="shared" ca="1" si="16"/>
        <v>54.644808743169399</v>
      </c>
      <c r="D107" s="82">
        <f t="shared" ca="1" si="19"/>
        <v>0.45355191256830601</v>
      </c>
      <c r="E107" s="134">
        <f t="shared" ca="1" si="10"/>
        <v>13.66120218579235</v>
      </c>
      <c r="F107" s="82">
        <f t="shared" ca="1" si="21"/>
        <v>0.72677595628415304</v>
      </c>
      <c r="G107" s="134">
        <f t="shared" ca="1" si="11"/>
        <v>10.928961748633879</v>
      </c>
      <c r="H107" s="82">
        <f t="shared" ca="1" si="22"/>
        <v>0.45355191256830601</v>
      </c>
      <c r="I107" s="83">
        <f t="shared" ca="1" si="23"/>
        <v>63155.065842515447</v>
      </c>
      <c r="J107" s="83">
        <f t="shared" ca="1" si="20"/>
        <v>70390.6506614112</v>
      </c>
      <c r="K107" s="84">
        <f t="shared" ca="1" si="24"/>
        <v>-52418.704649287836</v>
      </c>
      <c r="L107" s="84">
        <f t="shared" ca="1" si="25"/>
        <v>-56726.835677386611</v>
      </c>
      <c r="M107" s="83">
        <f t="shared" ca="1" si="26"/>
        <v>50828.415300546454</v>
      </c>
      <c r="N107" s="85">
        <f t="shared" ca="1" si="17"/>
        <v>-1590.2893487413821</v>
      </c>
      <c r="O107" s="85">
        <f t="shared" ca="1" si="18"/>
        <v>-5898.4203768401567</v>
      </c>
    </row>
    <row r="108" spans="1:15" x14ac:dyDescent="0.35">
      <c r="A108" s="47">
        <v>23</v>
      </c>
      <c r="B108" s="86">
        <v>43983</v>
      </c>
      <c r="C108" s="134">
        <f t="shared" ca="1" si="16"/>
        <v>54.644808743169399</v>
      </c>
      <c r="D108" s="82">
        <f t="shared" ca="1" si="19"/>
        <v>0.45355191256830601</v>
      </c>
      <c r="E108" s="134">
        <f t="shared" ca="1" si="10"/>
        <v>13.66120218579235</v>
      </c>
      <c r="F108" s="82">
        <f t="shared" ca="1" si="21"/>
        <v>0.72677595628415304</v>
      </c>
      <c r="G108" s="134">
        <f t="shared" ca="1" si="11"/>
        <v>10.928961748633879</v>
      </c>
      <c r="H108" s="82">
        <f t="shared" ca="1" si="22"/>
        <v>0.45355191256830601</v>
      </c>
      <c r="I108" s="83">
        <f t="shared" ca="1" si="23"/>
        <v>63155.065842515447</v>
      </c>
      <c r="J108" s="83">
        <f t="shared" ca="1" si="20"/>
        <v>70390.6506614112</v>
      </c>
      <c r="K108" s="84">
        <f t="shared" ca="1" si="24"/>
        <v>-52418.704649287836</v>
      </c>
      <c r="L108" s="84">
        <f t="shared" ca="1" si="25"/>
        <v>-56726.835677386611</v>
      </c>
      <c r="M108" s="83">
        <f t="shared" ca="1" si="26"/>
        <v>50828.415300546454</v>
      </c>
      <c r="N108" s="85">
        <f t="shared" ca="1" si="17"/>
        <v>-1590.2893487413821</v>
      </c>
      <c r="O108" s="85">
        <f t="shared" ca="1" si="18"/>
        <v>-5898.4203768401567</v>
      </c>
    </row>
    <row r="109" spans="1:15" x14ac:dyDescent="0.35">
      <c r="A109" s="47">
        <v>23</v>
      </c>
      <c r="B109" s="86">
        <v>43984</v>
      </c>
      <c r="C109" s="134">
        <f t="shared" ca="1" si="16"/>
        <v>54.644808743169399</v>
      </c>
      <c r="D109" s="82">
        <f t="shared" ca="1" si="19"/>
        <v>0.45355191256830601</v>
      </c>
      <c r="E109" s="134">
        <f t="shared" ca="1" si="10"/>
        <v>13.66120218579235</v>
      </c>
      <c r="F109" s="82">
        <f t="shared" ca="1" si="21"/>
        <v>0.72677595628415304</v>
      </c>
      <c r="G109" s="134">
        <f t="shared" ca="1" si="11"/>
        <v>10.928961748633879</v>
      </c>
      <c r="H109" s="82">
        <f t="shared" ca="1" si="22"/>
        <v>0.45355191256830601</v>
      </c>
      <c r="I109" s="83">
        <f t="shared" ca="1" si="23"/>
        <v>63155.065842515447</v>
      </c>
      <c r="J109" s="83">
        <f t="shared" ca="1" si="20"/>
        <v>70390.6506614112</v>
      </c>
      <c r="K109" s="84">
        <f t="shared" ca="1" si="24"/>
        <v>-52418.704649287836</v>
      </c>
      <c r="L109" s="84">
        <f t="shared" ca="1" si="25"/>
        <v>-56726.835677386611</v>
      </c>
      <c r="M109" s="83">
        <f t="shared" ca="1" si="26"/>
        <v>50828.415300546454</v>
      </c>
      <c r="N109" s="85">
        <f t="shared" ca="1" si="17"/>
        <v>-1590.2893487413821</v>
      </c>
      <c r="O109" s="85">
        <f t="shared" ca="1" si="18"/>
        <v>-5898.4203768401567</v>
      </c>
    </row>
    <row r="110" spans="1:15" x14ac:dyDescent="0.35">
      <c r="A110" s="47">
        <v>23</v>
      </c>
      <c r="B110" s="86">
        <v>43985</v>
      </c>
      <c r="C110" s="134">
        <f t="shared" ca="1" si="16"/>
        <v>54.644808743169399</v>
      </c>
      <c r="D110" s="82">
        <f t="shared" ca="1" si="19"/>
        <v>0.45355191256830601</v>
      </c>
      <c r="E110" s="134">
        <f t="shared" ca="1" si="10"/>
        <v>13.66120218579235</v>
      </c>
      <c r="F110" s="82">
        <f t="shared" ca="1" si="21"/>
        <v>0.72677595628415304</v>
      </c>
      <c r="G110" s="134">
        <f t="shared" ca="1" si="11"/>
        <v>10.928961748633879</v>
      </c>
      <c r="H110" s="82">
        <f t="shared" ca="1" si="22"/>
        <v>0.45355191256830601</v>
      </c>
      <c r="I110" s="83">
        <f t="shared" ca="1" si="23"/>
        <v>63155.065842515447</v>
      </c>
      <c r="J110" s="83">
        <f t="shared" ca="1" si="20"/>
        <v>70390.6506614112</v>
      </c>
      <c r="K110" s="84">
        <f t="shared" ca="1" si="24"/>
        <v>-52418.704649287836</v>
      </c>
      <c r="L110" s="84">
        <f t="shared" ca="1" si="25"/>
        <v>-56726.835677386611</v>
      </c>
      <c r="M110" s="83">
        <f t="shared" ca="1" si="26"/>
        <v>50828.415300546454</v>
      </c>
      <c r="N110" s="85">
        <f t="shared" ca="1" si="17"/>
        <v>-1590.2893487413821</v>
      </c>
      <c r="O110" s="85">
        <f t="shared" ca="1" si="18"/>
        <v>-5898.4203768401567</v>
      </c>
    </row>
    <row r="111" spans="1:15" x14ac:dyDescent="0.35">
      <c r="A111" s="47">
        <v>23</v>
      </c>
      <c r="B111" s="86">
        <v>43986</v>
      </c>
      <c r="C111" s="134">
        <f t="shared" ca="1" si="16"/>
        <v>54.644808743169399</v>
      </c>
      <c r="D111" s="82">
        <f t="shared" ca="1" si="19"/>
        <v>0.45355191256830601</v>
      </c>
      <c r="E111" s="134">
        <f t="shared" ca="1" si="10"/>
        <v>13.66120218579235</v>
      </c>
      <c r="F111" s="82">
        <f t="shared" ca="1" si="21"/>
        <v>0.72677595628415304</v>
      </c>
      <c r="G111" s="134">
        <f t="shared" ca="1" si="11"/>
        <v>10.928961748633879</v>
      </c>
      <c r="H111" s="82">
        <f t="shared" ca="1" si="22"/>
        <v>0.45355191256830601</v>
      </c>
      <c r="I111" s="83">
        <f t="shared" ca="1" si="23"/>
        <v>63155.065842515447</v>
      </c>
      <c r="J111" s="83">
        <f t="shared" ca="1" si="20"/>
        <v>70390.6506614112</v>
      </c>
      <c r="K111" s="84">
        <f t="shared" ca="1" si="24"/>
        <v>-52418.704649287836</v>
      </c>
      <c r="L111" s="84">
        <f t="shared" ca="1" si="25"/>
        <v>-56726.835677386611</v>
      </c>
      <c r="M111" s="83">
        <f t="shared" ca="1" si="26"/>
        <v>50828.415300546454</v>
      </c>
      <c r="N111" s="85">
        <f t="shared" ca="1" si="17"/>
        <v>-1590.2893487413821</v>
      </c>
      <c r="O111" s="85">
        <f t="shared" ca="1" si="18"/>
        <v>-5898.4203768401567</v>
      </c>
    </row>
    <row r="112" spans="1:15" x14ac:dyDescent="0.35">
      <c r="A112" s="47">
        <v>23</v>
      </c>
      <c r="B112" s="86">
        <v>43987</v>
      </c>
      <c r="C112" s="134">
        <f t="shared" ca="1" si="16"/>
        <v>54.644808743169399</v>
      </c>
      <c r="D112" s="82">
        <f t="shared" ca="1" si="19"/>
        <v>0.45355191256830601</v>
      </c>
      <c r="E112" s="134">
        <f t="shared" ca="1" si="10"/>
        <v>13.66120218579235</v>
      </c>
      <c r="F112" s="82">
        <f t="shared" ca="1" si="21"/>
        <v>0.72677595628415304</v>
      </c>
      <c r="G112" s="134">
        <f t="shared" ca="1" si="11"/>
        <v>10.928961748633879</v>
      </c>
      <c r="H112" s="82">
        <f t="shared" ca="1" si="22"/>
        <v>0.45355191256830601</v>
      </c>
      <c r="I112" s="83">
        <f t="shared" ca="1" si="23"/>
        <v>63155.065842515447</v>
      </c>
      <c r="J112" s="83">
        <f t="shared" ca="1" si="20"/>
        <v>70390.6506614112</v>
      </c>
      <c r="K112" s="84">
        <f t="shared" ca="1" si="24"/>
        <v>-52418.704649287836</v>
      </c>
      <c r="L112" s="84">
        <f t="shared" ca="1" si="25"/>
        <v>-56726.835677386611</v>
      </c>
      <c r="M112" s="83">
        <f t="shared" ca="1" si="26"/>
        <v>50828.415300546454</v>
      </c>
      <c r="N112" s="85">
        <f t="shared" ca="1" si="17"/>
        <v>-1590.2893487413821</v>
      </c>
      <c r="O112" s="85">
        <f t="shared" ca="1" si="18"/>
        <v>-5898.4203768401567</v>
      </c>
    </row>
    <row r="113" spans="1:15" x14ac:dyDescent="0.35">
      <c r="A113" s="47">
        <v>23</v>
      </c>
      <c r="B113" s="86">
        <v>43988</v>
      </c>
      <c r="C113" s="134">
        <f t="shared" ca="1" si="16"/>
        <v>54.644808743169399</v>
      </c>
      <c r="D113" s="82">
        <f t="shared" ca="1" si="19"/>
        <v>0.45355191256830601</v>
      </c>
      <c r="E113" s="134">
        <f t="shared" ca="1" si="10"/>
        <v>13.66120218579235</v>
      </c>
      <c r="F113" s="82">
        <f t="shared" ca="1" si="21"/>
        <v>0.72677595628415304</v>
      </c>
      <c r="G113" s="134">
        <f t="shared" ca="1" si="11"/>
        <v>10.928961748633879</v>
      </c>
      <c r="H113" s="82">
        <f t="shared" ca="1" si="22"/>
        <v>0.45355191256830601</v>
      </c>
      <c r="I113" s="83">
        <f t="shared" ca="1" si="23"/>
        <v>63155.065842515447</v>
      </c>
      <c r="J113" s="83">
        <f t="shared" ca="1" si="20"/>
        <v>70390.6506614112</v>
      </c>
      <c r="K113" s="84">
        <f t="shared" ca="1" si="24"/>
        <v>-52418.704649287836</v>
      </c>
      <c r="L113" s="84">
        <f t="shared" ca="1" si="25"/>
        <v>-56726.835677386611</v>
      </c>
      <c r="M113" s="83">
        <f t="shared" ca="1" si="26"/>
        <v>50828.415300546454</v>
      </c>
      <c r="N113" s="85">
        <f t="shared" ca="1" si="17"/>
        <v>-1590.2893487413821</v>
      </c>
      <c r="O113" s="85">
        <f t="shared" ca="1" si="18"/>
        <v>-5898.4203768401567</v>
      </c>
    </row>
    <row r="114" spans="1:15" x14ac:dyDescent="0.35">
      <c r="A114" s="47">
        <v>23</v>
      </c>
      <c r="B114" s="86">
        <v>43989</v>
      </c>
      <c r="C114" s="134">
        <f t="shared" ca="1" si="16"/>
        <v>54.644808743169399</v>
      </c>
      <c r="D114" s="82">
        <f t="shared" ca="1" si="19"/>
        <v>0.45355191256830601</v>
      </c>
      <c r="E114" s="134">
        <f t="shared" ca="1" si="10"/>
        <v>13.66120218579235</v>
      </c>
      <c r="F114" s="82">
        <f t="shared" ca="1" si="21"/>
        <v>0.72677595628415304</v>
      </c>
      <c r="G114" s="134">
        <f t="shared" ca="1" si="11"/>
        <v>10.928961748633879</v>
      </c>
      <c r="H114" s="82">
        <f t="shared" ca="1" si="22"/>
        <v>0.45355191256830601</v>
      </c>
      <c r="I114" s="83">
        <f t="shared" ca="1" si="23"/>
        <v>63155.065842515447</v>
      </c>
      <c r="J114" s="83">
        <f t="shared" ca="1" si="20"/>
        <v>70390.6506614112</v>
      </c>
      <c r="K114" s="84">
        <f t="shared" ca="1" si="24"/>
        <v>-52418.704649287836</v>
      </c>
      <c r="L114" s="84">
        <f t="shared" ca="1" si="25"/>
        <v>-56726.835677386611</v>
      </c>
      <c r="M114" s="83">
        <f t="shared" ca="1" si="26"/>
        <v>50828.415300546454</v>
      </c>
      <c r="N114" s="85">
        <f t="shared" ca="1" si="17"/>
        <v>-1590.2893487413821</v>
      </c>
      <c r="O114" s="85">
        <f t="shared" ca="1" si="18"/>
        <v>-5898.4203768401567</v>
      </c>
    </row>
    <row r="115" spans="1:15" x14ac:dyDescent="0.35">
      <c r="A115" s="47">
        <v>24</v>
      </c>
      <c r="B115" s="86">
        <v>43990</v>
      </c>
      <c r="C115" s="134">
        <f t="shared" ca="1" si="16"/>
        <v>54.644808743169399</v>
      </c>
      <c r="D115" s="82">
        <f t="shared" ca="1" si="19"/>
        <v>0.45355191256830601</v>
      </c>
      <c r="E115" s="134">
        <f t="shared" ca="1" si="10"/>
        <v>13.66120218579235</v>
      </c>
      <c r="F115" s="82">
        <f t="shared" ca="1" si="21"/>
        <v>0.72677595628415304</v>
      </c>
      <c r="G115" s="134">
        <f t="shared" ca="1" si="11"/>
        <v>10.928961748633879</v>
      </c>
      <c r="H115" s="82">
        <f t="shared" ca="1" si="22"/>
        <v>0.45355191256830601</v>
      </c>
      <c r="I115" s="83">
        <f t="shared" ca="1" si="23"/>
        <v>63155.065842515447</v>
      </c>
      <c r="J115" s="83">
        <f t="shared" ca="1" si="20"/>
        <v>70390.6506614112</v>
      </c>
      <c r="K115" s="84">
        <f t="shared" ca="1" si="24"/>
        <v>-52418.704649287836</v>
      </c>
      <c r="L115" s="84">
        <f t="shared" ca="1" si="25"/>
        <v>-56726.835677386611</v>
      </c>
      <c r="M115" s="83">
        <f t="shared" ca="1" si="26"/>
        <v>50828.415300546454</v>
      </c>
      <c r="N115" s="85">
        <f t="shared" ca="1" si="17"/>
        <v>-1590.2893487413821</v>
      </c>
      <c r="O115" s="85">
        <f t="shared" ca="1" si="18"/>
        <v>-5898.4203768401567</v>
      </c>
    </row>
    <row r="116" spans="1:15" x14ac:dyDescent="0.35">
      <c r="A116" s="47">
        <v>24</v>
      </c>
      <c r="B116" s="86">
        <v>43991</v>
      </c>
      <c r="C116" s="134">
        <f t="shared" ca="1" si="16"/>
        <v>54.644808743169399</v>
      </c>
      <c r="D116" s="82">
        <f t="shared" ca="1" si="19"/>
        <v>0.45355191256830601</v>
      </c>
      <c r="E116" s="134">
        <f t="shared" ca="1" si="10"/>
        <v>13.66120218579235</v>
      </c>
      <c r="F116" s="82">
        <f t="shared" ca="1" si="21"/>
        <v>0.72677595628415304</v>
      </c>
      <c r="G116" s="134">
        <f t="shared" ca="1" si="11"/>
        <v>10.928961748633879</v>
      </c>
      <c r="H116" s="82">
        <f t="shared" ca="1" si="22"/>
        <v>0.45355191256830601</v>
      </c>
      <c r="I116" s="83">
        <f t="shared" ca="1" si="23"/>
        <v>63155.065842515447</v>
      </c>
      <c r="J116" s="83">
        <f t="shared" ca="1" si="20"/>
        <v>70390.6506614112</v>
      </c>
      <c r="K116" s="84">
        <f t="shared" ca="1" si="24"/>
        <v>-52418.704649287836</v>
      </c>
      <c r="L116" s="84">
        <f t="shared" ca="1" si="25"/>
        <v>-56726.835677386611</v>
      </c>
      <c r="M116" s="83">
        <f t="shared" ca="1" si="26"/>
        <v>50828.415300546454</v>
      </c>
      <c r="N116" s="85">
        <f t="shared" ca="1" si="17"/>
        <v>-1590.2893487413821</v>
      </c>
      <c r="O116" s="85">
        <f t="shared" ca="1" si="18"/>
        <v>-5898.4203768401567</v>
      </c>
    </row>
    <row r="117" spans="1:15" x14ac:dyDescent="0.35">
      <c r="A117" s="47">
        <v>24</v>
      </c>
      <c r="B117" s="86">
        <v>43992</v>
      </c>
      <c r="C117" s="134">
        <f t="shared" ca="1" si="16"/>
        <v>54.644808743169399</v>
      </c>
      <c r="D117" s="82">
        <f t="shared" ca="1" si="19"/>
        <v>0.45355191256830601</v>
      </c>
      <c r="E117" s="134">
        <f t="shared" ca="1" si="10"/>
        <v>13.66120218579235</v>
      </c>
      <c r="F117" s="82">
        <f t="shared" ca="1" si="21"/>
        <v>0.72677595628415304</v>
      </c>
      <c r="G117" s="134">
        <f t="shared" ca="1" si="11"/>
        <v>10.928961748633879</v>
      </c>
      <c r="H117" s="82">
        <f t="shared" ca="1" si="22"/>
        <v>0.45355191256830601</v>
      </c>
      <c r="I117" s="83">
        <f t="shared" ca="1" si="23"/>
        <v>63155.065842515447</v>
      </c>
      <c r="J117" s="83">
        <f t="shared" ca="1" si="20"/>
        <v>70390.6506614112</v>
      </c>
      <c r="K117" s="84">
        <f t="shared" ca="1" si="24"/>
        <v>-52418.704649287836</v>
      </c>
      <c r="L117" s="84">
        <f t="shared" ca="1" si="25"/>
        <v>-56726.835677386611</v>
      </c>
      <c r="M117" s="83">
        <f t="shared" ca="1" si="26"/>
        <v>50828.415300546454</v>
      </c>
      <c r="N117" s="85">
        <f t="shared" ca="1" si="17"/>
        <v>-1590.2893487413821</v>
      </c>
      <c r="O117" s="85">
        <f t="shared" ca="1" si="18"/>
        <v>-5898.4203768401567</v>
      </c>
    </row>
    <row r="118" spans="1:15" x14ac:dyDescent="0.35">
      <c r="A118" s="47">
        <v>24</v>
      </c>
      <c r="B118" s="86">
        <v>43993</v>
      </c>
      <c r="C118" s="134">
        <f t="shared" ref="C118:C149" ca="1" si="27">IF(B118&gt;=TODAY(),($D$5/$I$6),"")</f>
        <v>54.644808743169399</v>
      </c>
      <c r="D118" s="82">
        <f t="shared" ca="1" si="19"/>
        <v>0.45355191256830601</v>
      </c>
      <c r="E118" s="134">
        <f t="shared" ca="1" si="10"/>
        <v>13.66120218579235</v>
      </c>
      <c r="F118" s="82">
        <f t="shared" ca="1" si="21"/>
        <v>0.72677595628415304</v>
      </c>
      <c r="G118" s="134">
        <f t="shared" ca="1" si="11"/>
        <v>10.928961748633879</v>
      </c>
      <c r="H118" s="82">
        <f t="shared" ca="1" si="22"/>
        <v>0.45355191256830601</v>
      </c>
      <c r="I118" s="83">
        <f t="shared" ca="1" si="23"/>
        <v>63155.065842515447</v>
      </c>
      <c r="J118" s="83">
        <f t="shared" ca="1" si="20"/>
        <v>70390.6506614112</v>
      </c>
      <c r="K118" s="84">
        <f t="shared" ca="1" si="24"/>
        <v>-52418.704649287836</v>
      </c>
      <c r="L118" s="84">
        <f t="shared" ca="1" si="25"/>
        <v>-56726.835677386611</v>
      </c>
      <c r="M118" s="83">
        <f t="shared" ca="1" si="26"/>
        <v>50828.415300546454</v>
      </c>
      <c r="N118" s="85">
        <f t="shared" ca="1" si="17"/>
        <v>-1590.2893487413821</v>
      </c>
      <c r="O118" s="85">
        <f t="shared" ca="1" si="18"/>
        <v>-5898.4203768401567</v>
      </c>
    </row>
    <row r="119" spans="1:15" x14ac:dyDescent="0.35">
      <c r="A119" s="47">
        <v>24</v>
      </c>
      <c r="B119" s="86">
        <v>43994</v>
      </c>
      <c r="C119" s="134">
        <f t="shared" ca="1" si="27"/>
        <v>54.644808743169399</v>
      </c>
      <c r="D119" s="82">
        <f t="shared" ca="1" si="19"/>
        <v>0.45355191256830601</v>
      </c>
      <c r="E119" s="134">
        <f t="shared" ref="E119:E182" ca="1" si="28">IF(B119&gt;=TODAY(),($D$7/$I$6),"")</f>
        <v>13.66120218579235</v>
      </c>
      <c r="F119" s="82">
        <f t="shared" ca="1" si="21"/>
        <v>0.72677595628415304</v>
      </c>
      <c r="G119" s="134">
        <f t="shared" ref="G119:G182" ca="1" si="29">IF(B119&gt;=TODAY(),($D$9/$I$6),"")</f>
        <v>10.928961748633879</v>
      </c>
      <c r="H119" s="82">
        <f t="shared" ca="1" si="22"/>
        <v>0.45355191256830601</v>
      </c>
      <c r="I119" s="83">
        <f t="shared" ca="1" si="23"/>
        <v>63155.065842515447</v>
      </c>
      <c r="J119" s="83">
        <f t="shared" ca="1" si="20"/>
        <v>70390.6506614112</v>
      </c>
      <c r="K119" s="84">
        <f t="shared" ca="1" si="24"/>
        <v>-52418.704649287836</v>
      </c>
      <c r="L119" s="84">
        <f t="shared" ca="1" si="25"/>
        <v>-56726.835677386611</v>
      </c>
      <c r="M119" s="83">
        <f t="shared" ca="1" si="26"/>
        <v>50828.415300546454</v>
      </c>
      <c r="N119" s="85">
        <f t="shared" ca="1" si="17"/>
        <v>-1590.2893487413821</v>
      </c>
      <c r="O119" s="85">
        <f t="shared" ca="1" si="18"/>
        <v>-5898.4203768401567</v>
      </c>
    </row>
    <row r="120" spans="1:15" x14ac:dyDescent="0.35">
      <c r="A120" s="47">
        <v>24</v>
      </c>
      <c r="B120" s="86">
        <v>43995</v>
      </c>
      <c r="C120" s="134">
        <f t="shared" ca="1" si="27"/>
        <v>54.644808743169399</v>
      </c>
      <c r="D120" s="82">
        <f t="shared" ca="1" si="19"/>
        <v>0.45355191256830601</v>
      </c>
      <c r="E120" s="134">
        <f t="shared" ca="1" si="28"/>
        <v>13.66120218579235</v>
      </c>
      <c r="F120" s="82">
        <f t="shared" ca="1" si="21"/>
        <v>0.72677595628415304</v>
      </c>
      <c r="G120" s="134">
        <f t="shared" ca="1" si="29"/>
        <v>10.928961748633879</v>
      </c>
      <c r="H120" s="82">
        <f t="shared" ca="1" si="22"/>
        <v>0.45355191256830601</v>
      </c>
      <c r="I120" s="83">
        <f t="shared" ca="1" si="23"/>
        <v>63155.065842515447</v>
      </c>
      <c r="J120" s="83">
        <f t="shared" ca="1" si="20"/>
        <v>70390.6506614112</v>
      </c>
      <c r="K120" s="84">
        <f t="shared" ca="1" si="24"/>
        <v>-52418.704649287836</v>
      </c>
      <c r="L120" s="84">
        <f t="shared" ca="1" si="25"/>
        <v>-56726.835677386611</v>
      </c>
      <c r="M120" s="83">
        <f t="shared" ca="1" si="26"/>
        <v>50828.415300546454</v>
      </c>
      <c r="N120" s="85">
        <f t="shared" ref="N120:N151" ca="1" si="30">$M120+$K120</f>
        <v>-1590.2893487413821</v>
      </c>
      <c r="O120" s="85">
        <f t="shared" ref="O120:O151" ca="1" si="31">$M120+$L120</f>
        <v>-5898.4203768401567</v>
      </c>
    </row>
    <row r="121" spans="1:15" x14ac:dyDescent="0.35">
      <c r="A121" s="47">
        <v>24</v>
      </c>
      <c r="B121" s="86">
        <v>43996</v>
      </c>
      <c r="C121" s="134">
        <f t="shared" ca="1" si="27"/>
        <v>54.644808743169399</v>
      </c>
      <c r="D121" s="82">
        <f t="shared" ca="1" si="19"/>
        <v>0.45355191256830601</v>
      </c>
      <c r="E121" s="134">
        <f t="shared" ca="1" si="28"/>
        <v>13.66120218579235</v>
      </c>
      <c r="F121" s="82">
        <f t="shared" ca="1" si="21"/>
        <v>0.72677595628415304</v>
      </c>
      <c r="G121" s="134">
        <f t="shared" ca="1" si="29"/>
        <v>10.928961748633879</v>
      </c>
      <c r="H121" s="82">
        <f t="shared" ca="1" si="22"/>
        <v>0.45355191256830601</v>
      </c>
      <c r="I121" s="83">
        <f t="shared" ca="1" si="23"/>
        <v>63155.065842515447</v>
      </c>
      <c r="J121" s="83">
        <f t="shared" ca="1" si="20"/>
        <v>70390.6506614112</v>
      </c>
      <c r="K121" s="84">
        <f t="shared" ca="1" si="24"/>
        <v>-52418.704649287836</v>
      </c>
      <c r="L121" s="84">
        <f t="shared" ca="1" si="25"/>
        <v>-56726.835677386611</v>
      </c>
      <c r="M121" s="83">
        <f t="shared" ca="1" si="26"/>
        <v>50828.415300546454</v>
      </c>
      <c r="N121" s="85">
        <f t="shared" ca="1" si="30"/>
        <v>-1590.2893487413821</v>
      </c>
      <c r="O121" s="85">
        <f t="shared" ca="1" si="31"/>
        <v>-5898.4203768401567</v>
      </c>
    </row>
    <row r="122" spans="1:15" x14ac:dyDescent="0.35">
      <c r="A122" s="47">
        <v>25</v>
      </c>
      <c r="B122" s="86">
        <v>43997</v>
      </c>
      <c r="C122" s="134">
        <f t="shared" ca="1" si="27"/>
        <v>54.644808743169399</v>
      </c>
      <c r="D122" s="82">
        <f t="shared" ca="1" si="19"/>
        <v>0.45355191256830601</v>
      </c>
      <c r="E122" s="134">
        <f t="shared" ca="1" si="28"/>
        <v>13.66120218579235</v>
      </c>
      <c r="F122" s="82">
        <f t="shared" ca="1" si="21"/>
        <v>0.72677595628415304</v>
      </c>
      <c r="G122" s="134">
        <f t="shared" ca="1" si="29"/>
        <v>10.928961748633879</v>
      </c>
      <c r="H122" s="82">
        <f t="shared" ca="1" si="22"/>
        <v>0.45355191256830601</v>
      </c>
      <c r="I122" s="83">
        <f t="shared" ca="1" si="23"/>
        <v>63155.065842515447</v>
      </c>
      <c r="J122" s="83">
        <f t="shared" ca="1" si="20"/>
        <v>70390.6506614112</v>
      </c>
      <c r="K122" s="84">
        <f t="shared" ca="1" si="24"/>
        <v>-52418.704649287836</v>
      </c>
      <c r="L122" s="84">
        <f t="shared" ca="1" si="25"/>
        <v>-56726.835677386611</v>
      </c>
      <c r="M122" s="83">
        <f t="shared" ca="1" si="26"/>
        <v>50828.415300546454</v>
      </c>
      <c r="N122" s="85">
        <f t="shared" ca="1" si="30"/>
        <v>-1590.2893487413821</v>
      </c>
      <c r="O122" s="85">
        <f t="shared" ca="1" si="31"/>
        <v>-5898.4203768401567</v>
      </c>
    </row>
    <row r="123" spans="1:15" x14ac:dyDescent="0.35">
      <c r="A123" s="47">
        <v>25</v>
      </c>
      <c r="B123" s="86">
        <v>43998</v>
      </c>
      <c r="C123" s="134">
        <f t="shared" ca="1" si="27"/>
        <v>54.644808743169399</v>
      </c>
      <c r="D123" s="82">
        <f t="shared" ca="1" si="19"/>
        <v>0.45355191256830601</v>
      </c>
      <c r="E123" s="134">
        <f t="shared" ca="1" si="28"/>
        <v>13.66120218579235</v>
      </c>
      <c r="F123" s="82">
        <f t="shared" ca="1" si="21"/>
        <v>0.72677595628415304</v>
      </c>
      <c r="G123" s="134">
        <f t="shared" ca="1" si="29"/>
        <v>10.928961748633879</v>
      </c>
      <c r="H123" s="82">
        <f t="shared" ca="1" si="22"/>
        <v>0.45355191256830601</v>
      </c>
      <c r="I123" s="83">
        <f t="shared" ca="1" si="23"/>
        <v>63155.065842515447</v>
      </c>
      <c r="J123" s="83">
        <f t="shared" ca="1" si="20"/>
        <v>70390.6506614112</v>
      </c>
      <c r="K123" s="84">
        <f t="shared" ca="1" si="24"/>
        <v>-52418.704649287836</v>
      </c>
      <c r="L123" s="84">
        <f t="shared" ca="1" si="25"/>
        <v>-56726.835677386611</v>
      </c>
      <c r="M123" s="83">
        <f t="shared" ca="1" si="26"/>
        <v>50828.415300546454</v>
      </c>
      <c r="N123" s="85">
        <f t="shared" ca="1" si="30"/>
        <v>-1590.2893487413821</v>
      </c>
      <c r="O123" s="85">
        <f t="shared" ca="1" si="31"/>
        <v>-5898.4203768401567</v>
      </c>
    </row>
    <row r="124" spans="1:15" x14ac:dyDescent="0.35">
      <c r="A124" s="47">
        <v>25</v>
      </c>
      <c r="B124" s="86">
        <v>43999</v>
      </c>
      <c r="C124" s="134">
        <f t="shared" ca="1" si="27"/>
        <v>54.644808743169399</v>
      </c>
      <c r="D124" s="82">
        <f t="shared" ca="1" si="19"/>
        <v>0.45355191256830601</v>
      </c>
      <c r="E124" s="134">
        <f t="shared" ca="1" si="28"/>
        <v>13.66120218579235</v>
      </c>
      <c r="F124" s="82">
        <f t="shared" ca="1" si="21"/>
        <v>0.72677595628415304</v>
      </c>
      <c r="G124" s="134">
        <f t="shared" ca="1" si="29"/>
        <v>10.928961748633879</v>
      </c>
      <c r="H124" s="82">
        <f t="shared" ca="1" si="22"/>
        <v>0.45355191256830601</v>
      </c>
      <c r="I124" s="83">
        <f t="shared" ca="1" si="23"/>
        <v>63155.065842515447</v>
      </c>
      <c r="J124" s="83">
        <f t="shared" ca="1" si="20"/>
        <v>70390.6506614112</v>
      </c>
      <c r="K124" s="84">
        <f t="shared" ca="1" si="24"/>
        <v>-52418.704649287836</v>
      </c>
      <c r="L124" s="84">
        <f t="shared" ca="1" si="25"/>
        <v>-56726.835677386611</v>
      </c>
      <c r="M124" s="83">
        <f t="shared" ca="1" si="26"/>
        <v>50828.415300546454</v>
      </c>
      <c r="N124" s="85">
        <f t="shared" ca="1" si="30"/>
        <v>-1590.2893487413821</v>
      </c>
      <c r="O124" s="85">
        <f t="shared" ca="1" si="31"/>
        <v>-5898.4203768401567</v>
      </c>
    </row>
    <row r="125" spans="1:15" x14ac:dyDescent="0.35">
      <c r="A125" s="47">
        <v>25</v>
      </c>
      <c r="B125" s="86">
        <v>44000</v>
      </c>
      <c r="C125" s="134">
        <f t="shared" ca="1" si="27"/>
        <v>54.644808743169399</v>
      </c>
      <c r="D125" s="82">
        <f t="shared" ca="1" si="19"/>
        <v>0.45355191256830601</v>
      </c>
      <c r="E125" s="134">
        <f t="shared" ca="1" si="28"/>
        <v>13.66120218579235</v>
      </c>
      <c r="F125" s="82">
        <f t="shared" ca="1" si="21"/>
        <v>0.72677595628415304</v>
      </c>
      <c r="G125" s="134">
        <f t="shared" ca="1" si="29"/>
        <v>10.928961748633879</v>
      </c>
      <c r="H125" s="82">
        <f t="shared" ca="1" si="22"/>
        <v>0.45355191256830601</v>
      </c>
      <c r="I125" s="83">
        <f t="shared" ca="1" si="23"/>
        <v>63155.065842515447</v>
      </c>
      <c r="J125" s="83">
        <f t="shared" ca="1" si="20"/>
        <v>70390.6506614112</v>
      </c>
      <c r="K125" s="84">
        <f t="shared" ca="1" si="24"/>
        <v>-52418.704649287836</v>
      </c>
      <c r="L125" s="84">
        <f t="shared" ca="1" si="25"/>
        <v>-56726.835677386611</v>
      </c>
      <c r="M125" s="83">
        <f t="shared" ca="1" si="26"/>
        <v>50828.415300546454</v>
      </c>
      <c r="N125" s="85">
        <f t="shared" ca="1" si="30"/>
        <v>-1590.2893487413821</v>
      </c>
      <c r="O125" s="85">
        <f t="shared" ca="1" si="31"/>
        <v>-5898.4203768401567</v>
      </c>
    </row>
    <row r="126" spans="1:15" x14ac:dyDescent="0.35">
      <c r="A126" s="47">
        <v>25</v>
      </c>
      <c r="B126" s="86">
        <v>44001</v>
      </c>
      <c r="C126" s="134">
        <f t="shared" ca="1" si="27"/>
        <v>54.644808743169399</v>
      </c>
      <c r="D126" s="82">
        <f t="shared" ca="1" si="19"/>
        <v>0.45355191256830601</v>
      </c>
      <c r="E126" s="134">
        <f t="shared" ca="1" si="28"/>
        <v>13.66120218579235</v>
      </c>
      <c r="F126" s="82">
        <f t="shared" ca="1" si="21"/>
        <v>0.72677595628415304</v>
      </c>
      <c r="G126" s="134">
        <f t="shared" ca="1" si="29"/>
        <v>10.928961748633879</v>
      </c>
      <c r="H126" s="82">
        <f t="shared" ca="1" si="22"/>
        <v>0.45355191256830601</v>
      </c>
      <c r="I126" s="83">
        <f t="shared" ca="1" si="23"/>
        <v>63155.065842515447</v>
      </c>
      <c r="J126" s="83">
        <f t="shared" ca="1" si="20"/>
        <v>70390.6506614112</v>
      </c>
      <c r="K126" s="84">
        <f t="shared" ca="1" si="24"/>
        <v>-52418.704649287836</v>
      </c>
      <c r="L126" s="84">
        <f t="shared" ca="1" si="25"/>
        <v>-56726.835677386611</v>
      </c>
      <c r="M126" s="83">
        <f t="shared" ca="1" si="26"/>
        <v>50828.415300546454</v>
      </c>
      <c r="N126" s="85">
        <f t="shared" ca="1" si="30"/>
        <v>-1590.2893487413821</v>
      </c>
      <c r="O126" s="85">
        <f t="shared" ca="1" si="31"/>
        <v>-5898.4203768401567</v>
      </c>
    </row>
    <row r="127" spans="1:15" x14ac:dyDescent="0.35">
      <c r="A127" s="47">
        <v>25</v>
      </c>
      <c r="B127" s="86">
        <v>44002</v>
      </c>
      <c r="C127" s="134">
        <f t="shared" ca="1" si="27"/>
        <v>54.644808743169399</v>
      </c>
      <c r="D127" s="82">
        <f t="shared" ref="D127:D158" ca="1" si="32">-IFERROR((C127-$D$4)/$D$4,0)</f>
        <v>0.45355191256830601</v>
      </c>
      <c r="E127" s="134">
        <f t="shared" ca="1" si="28"/>
        <v>13.66120218579235</v>
      </c>
      <c r="F127" s="82">
        <f t="shared" ca="1" si="21"/>
        <v>0.72677595628415304</v>
      </c>
      <c r="G127" s="134">
        <f t="shared" ca="1" si="29"/>
        <v>10.928961748633879</v>
      </c>
      <c r="H127" s="82">
        <f t="shared" ca="1" si="22"/>
        <v>0.45355191256830601</v>
      </c>
      <c r="I127" s="83">
        <f t="shared" ca="1" si="23"/>
        <v>63155.065842515447</v>
      </c>
      <c r="J127" s="83">
        <f t="shared" ref="J127:J158" ca="1" si="33">(($D$15+$D$16)*(1-D127)+($D$17*(1-$I$4))+($D$18*(1-F127))+($D$19*(1-H127)))/$I$6</f>
        <v>70390.6506614112</v>
      </c>
      <c r="K127" s="84">
        <f t="shared" ca="1" si="24"/>
        <v>-52418.704649287836</v>
      </c>
      <c r="L127" s="84">
        <f t="shared" ca="1" si="25"/>
        <v>-56726.835677386611</v>
      </c>
      <c r="M127" s="83">
        <f t="shared" ca="1" si="26"/>
        <v>50828.415300546454</v>
      </c>
      <c r="N127" s="85">
        <f t="shared" ca="1" si="30"/>
        <v>-1590.2893487413821</v>
      </c>
      <c r="O127" s="85">
        <f t="shared" ca="1" si="31"/>
        <v>-5898.4203768401567</v>
      </c>
    </row>
    <row r="128" spans="1:15" x14ac:dyDescent="0.35">
      <c r="A128" s="47">
        <v>25</v>
      </c>
      <c r="B128" s="86">
        <v>44003</v>
      </c>
      <c r="C128" s="134">
        <f t="shared" ca="1" si="27"/>
        <v>54.644808743169399</v>
      </c>
      <c r="D128" s="82">
        <f t="shared" ca="1" si="32"/>
        <v>0.45355191256830601</v>
      </c>
      <c r="E128" s="134">
        <f t="shared" ca="1" si="28"/>
        <v>13.66120218579235</v>
      </c>
      <c r="F128" s="82">
        <f t="shared" ca="1" si="21"/>
        <v>0.72677595628415304</v>
      </c>
      <c r="G128" s="134">
        <f t="shared" ca="1" si="29"/>
        <v>10.928961748633879</v>
      </c>
      <c r="H128" s="82">
        <f t="shared" ca="1" si="22"/>
        <v>0.45355191256830601</v>
      </c>
      <c r="I128" s="83">
        <f t="shared" ca="1" si="23"/>
        <v>63155.065842515447</v>
      </c>
      <c r="J128" s="83">
        <f t="shared" ca="1" si="33"/>
        <v>70390.6506614112</v>
      </c>
      <c r="K128" s="84">
        <f t="shared" ca="1" si="24"/>
        <v>-52418.704649287836</v>
      </c>
      <c r="L128" s="84">
        <f t="shared" ca="1" si="25"/>
        <v>-56726.835677386611</v>
      </c>
      <c r="M128" s="83">
        <f t="shared" ca="1" si="26"/>
        <v>50828.415300546454</v>
      </c>
      <c r="N128" s="85">
        <f t="shared" ca="1" si="30"/>
        <v>-1590.2893487413821</v>
      </c>
      <c r="O128" s="85">
        <f t="shared" ca="1" si="31"/>
        <v>-5898.4203768401567</v>
      </c>
    </row>
    <row r="129" spans="1:15" x14ac:dyDescent="0.35">
      <c r="A129" s="47">
        <v>26</v>
      </c>
      <c r="B129" s="86">
        <v>44004</v>
      </c>
      <c r="C129" s="134">
        <f t="shared" ca="1" si="27"/>
        <v>54.644808743169399</v>
      </c>
      <c r="D129" s="82">
        <f t="shared" ca="1" si="32"/>
        <v>0.45355191256830601</v>
      </c>
      <c r="E129" s="134">
        <f t="shared" ca="1" si="28"/>
        <v>13.66120218579235</v>
      </c>
      <c r="F129" s="82">
        <f t="shared" ca="1" si="21"/>
        <v>0.72677595628415304</v>
      </c>
      <c r="G129" s="134">
        <f t="shared" ca="1" si="29"/>
        <v>10.928961748633879</v>
      </c>
      <c r="H129" s="82">
        <f t="shared" ca="1" si="22"/>
        <v>0.45355191256830601</v>
      </c>
      <c r="I129" s="83">
        <f t="shared" ca="1" si="23"/>
        <v>63155.065842515447</v>
      </c>
      <c r="J129" s="83">
        <f t="shared" ca="1" si="33"/>
        <v>70390.6506614112</v>
      </c>
      <c r="K129" s="84">
        <f t="shared" ca="1" si="24"/>
        <v>-52418.704649287836</v>
      </c>
      <c r="L129" s="84">
        <f t="shared" ca="1" si="25"/>
        <v>-56726.835677386611</v>
      </c>
      <c r="M129" s="83">
        <f t="shared" ca="1" si="26"/>
        <v>50828.415300546454</v>
      </c>
      <c r="N129" s="85">
        <f t="shared" ca="1" si="30"/>
        <v>-1590.2893487413821</v>
      </c>
      <c r="O129" s="85">
        <f t="shared" ca="1" si="31"/>
        <v>-5898.4203768401567</v>
      </c>
    </row>
    <row r="130" spans="1:15" x14ac:dyDescent="0.35">
      <c r="A130" s="47">
        <v>26</v>
      </c>
      <c r="B130" s="86">
        <v>44005</v>
      </c>
      <c r="C130" s="134">
        <f t="shared" ca="1" si="27"/>
        <v>54.644808743169399</v>
      </c>
      <c r="D130" s="82">
        <f t="shared" ca="1" si="32"/>
        <v>0.45355191256830601</v>
      </c>
      <c r="E130" s="134">
        <f t="shared" ca="1" si="28"/>
        <v>13.66120218579235</v>
      </c>
      <c r="F130" s="82">
        <f t="shared" ca="1" si="21"/>
        <v>0.72677595628415304</v>
      </c>
      <c r="G130" s="134">
        <f t="shared" ca="1" si="29"/>
        <v>10.928961748633879</v>
      </c>
      <c r="H130" s="82">
        <f t="shared" ca="1" si="22"/>
        <v>0.45355191256830601</v>
      </c>
      <c r="I130" s="83">
        <f t="shared" ca="1" si="23"/>
        <v>63155.065842515447</v>
      </c>
      <c r="J130" s="83">
        <f t="shared" ca="1" si="33"/>
        <v>70390.6506614112</v>
      </c>
      <c r="K130" s="84">
        <f t="shared" ca="1" si="24"/>
        <v>-52418.704649287836</v>
      </c>
      <c r="L130" s="84">
        <f t="shared" ca="1" si="25"/>
        <v>-56726.835677386611</v>
      </c>
      <c r="M130" s="83">
        <f t="shared" ca="1" si="26"/>
        <v>50828.415300546454</v>
      </c>
      <c r="N130" s="85">
        <f t="shared" ca="1" si="30"/>
        <v>-1590.2893487413821</v>
      </c>
      <c r="O130" s="85">
        <f t="shared" ca="1" si="31"/>
        <v>-5898.4203768401567</v>
      </c>
    </row>
    <row r="131" spans="1:15" x14ac:dyDescent="0.35">
      <c r="A131" s="47">
        <v>26</v>
      </c>
      <c r="B131" s="86">
        <v>44006</v>
      </c>
      <c r="C131" s="134">
        <f t="shared" ca="1" si="27"/>
        <v>54.644808743169399</v>
      </c>
      <c r="D131" s="82">
        <f t="shared" ca="1" si="32"/>
        <v>0.45355191256830601</v>
      </c>
      <c r="E131" s="134">
        <f t="shared" ca="1" si="28"/>
        <v>13.66120218579235</v>
      </c>
      <c r="F131" s="82">
        <f t="shared" ca="1" si="21"/>
        <v>0.72677595628415304</v>
      </c>
      <c r="G131" s="134">
        <f t="shared" ca="1" si="29"/>
        <v>10.928961748633879</v>
      </c>
      <c r="H131" s="82">
        <f t="shared" ca="1" si="22"/>
        <v>0.45355191256830601</v>
      </c>
      <c r="I131" s="83">
        <f t="shared" ca="1" si="23"/>
        <v>63155.065842515447</v>
      </c>
      <c r="J131" s="83">
        <f t="shared" ca="1" si="33"/>
        <v>70390.6506614112</v>
      </c>
      <c r="K131" s="84">
        <f t="shared" ca="1" si="24"/>
        <v>-52418.704649287836</v>
      </c>
      <c r="L131" s="84">
        <f t="shared" ca="1" si="25"/>
        <v>-56726.835677386611</v>
      </c>
      <c r="M131" s="83">
        <f t="shared" ca="1" si="26"/>
        <v>50828.415300546454</v>
      </c>
      <c r="N131" s="85">
        <f t="shared" ca="1" si="30"/>
        <v>-1590.2893487413821</v>
      </c>
      <c r="O131" s="85">
        <f t="shared" ca="1" si="31"/>
        <v>-5898.4203768401567</v>
      </c>
    </row>
    <row r="132" spans="1:15" x14ac:dyDescent="0.35">
      <c r="A132" s="47">
        <v>26</v>
      </c>
      <c r="B132" s="86">
        <v>44007</v>
      </c>
      <c r="C132" s="134">
        <f t="shared" ca="1" si="27"/>
        <v>54.644808743169399</v>
      </c>
      <c r="D132" s="82">
        <f t="shared" ca="1" si="32"/>
        <v>0.45355191256830601</v>
      </c>
      <c r="E132" s="134">
        <f t="shared" ca="1" si="28"/>
        <v>13.66120218579235</v>
      </c>
      <c r="F132" s="82">
        <f t="shared" ca="1" si="21"/>
        <v>0.72677595628415304</v>
      </c>
      <c r="G132" s="134">
        <f t="shared" ca="1" si="29"/>
        <v>10.928961748633879</v>
      </c>
      <c r="H132" s="82">
        <f t="shared" ca="1" si="22"/>
        <v>0.45355191256830601</v>
      </c>
      <c r="I132" s="83">
        <f t="shared" ca="1" si="23"/>
        <v>63155.065842515447</v>
      </c>
      <c r="J132" s="83">
        <f t="shared" ca="1" si="33"/>
        <v>70390.6506614112</v>
      </c>
      <c r="K132" s="84">
        <f t="shared" ca="1" si="24"/>
        <v>-52418.704649287836</v>
      </c>
      <c r="L132" s="84">
        <f t="shared" ca="1" si="25"/>
        <v>-56726.835677386611</v>
      </c>
      <c r="M132" s="83">
        <f t="shared" ca="1" si="26"/>
        <v>50828.415300546454</v>
      </c>
      <c r="N132" s="85">
        <f t="shared" ca="1" si="30"/>
        <v>-1590.2893487413821</v>
      </c>
      <c r="O132" s="85">
        <f t="shared" ca="1" si="31"/>
        <v>-5898.4203768401567</v>
      </c>
    </row>
    <row r="133" spans="1:15" x14ac:dyDescent="0.35">
      <c r="A133" s="47">
        <v>26</v>
      </c>
      <c r="B133" s="86">
        <v>44008</v>
      </c>
      <c r="C133" s="134">
        <f t="shared" ca="1" si="27"/>
        <v>54.644808743169399</v>
      </c>
      <c r="D133" s="82">
        <f t="shared" ca="1" si="32"/>
        <v>0.45355191256830601</v>
      </c>
      <c r="E133" s="134">
        <f t="shared" ca="1" si="28"/>
        <v>13.66120218579235</v>
      </c>
      <c r="F133" s="82">
        <f t="shared" ca="1" si="21"/>
        <v>0.72677595628415304</v>
      </c>
      <c r="G133" s="134">
        <f t="shared" ca="1" si="29"/>
        <v>10.928961748633879</v>
      </c>
      <c r="H133" s="82">
        <f t="shared" ca="1" si="22"/>
        <v>0.45355191256830601</v>
      </c>
      <c r="I133" s="83">
        <f t="shared" ca="1" si="23"/>
        <v>63155.065842515447</v>
      </c>
      <c r="J133" s="83">
        <f t="shared" ca="1" si="33"/>
        <v>70390.6506614112</v>
      </c>
      <c r="K133" s="84">
        <f t="shared" ca="1" si="24"/>
        <v>-52418.704649287836</v>
      </c>
      <c r="L133" s="84">
        <f t="shared" ca="1" si="25"/>
        <v>-56726.835677386611</v>
      </c>
      <c r="M133" s="83">
        <f t="shared" ca="1" si="26"/>
        <v>50828.415300546454</v>
      </c>
      <c r="N133" s="85">
        <f t="shared" ca="1" si="30"/>
        <v>-1590.2893487413821</v>
      </c>
      <c r="O133" s="85">
        <f t="shared" ca="1" si="31"/>
        <v>-5898.4203768401567</v>
      </c>
    </row>
    <row r="134" spans="1:15" x14ac:dyDescent="0.35">
      <c r="A134" s="47">
        <v>26</v>
      </c>
      <c r="B134" s="86">
        <v>44009</v>
      </c>
      <c r="C134" s="134">
        <f t="shared" ca="1" si="27"/>
        <v>54.644808743169399</v>
      </c>
      <c r="D134" s="82">
        <f t="shared" ca="1" si="32"/>
        <v>0.45355191256830601</v>
      </c>
      <c r="E134" s="134">
        <f t="shared" ca="1" si="28"/>
        <v>13.66120218579235</v>
      </c>
      <c r="F134" s="82">
        <f t="shared" ca="1" si="21"/>
        <v>0.72677595628415304</v>
      </c>
      <c r="G134" s="134">
        <f t="shared" ca="1" si="29"/>
        <v>10.928961748633879</v>
      </c>
      <c r="H134" s="82">
        <f t="shared" ca="1" si="22"/>
        <v>0.45355191256830601</v>
      </c>
      <c r="I134" s="83">
        <f t="shared" ca="1" si="23"/>
        <v>63155.065842515447</v>
      </c>
      <c r="J134" s="83">
        <f t="shared" ca="1" si="33"/>
        <v>70390.6506614112</v>
      </c>
      <c r="K134" s="84">
        <f t="shared" ca="1" si="24"/>
        <v>-52418.704649287836</v>
      </c>
      <c r="L134" s="84">
        <f t="shared" ca="1" si="25"/>
        <v>-56726.835677386611</v>
      </c>
      <c r="M134" s="83">
        <f t="shared" ca="1" si="26"/>
        <v>50828.415300546454</v>
      </c>
      <c r="N134" s="85">
        <f t="shared" ca="1" si="30"/>
        <v>-1590.2893487413821</v>
      </c>
      <c r="O134" s="85">
        <f t="shared" ca="1" si="31"/>
        <v>-5898.4203768401567</v>
      </c>
    </row>
    <row r="135" spans="1:15" x14ac:dyDescent="0.35">
      <c r="A135" s="47">
        <v>26</v>
      </c>
      <c r="B135" s="86">
        <v>44010</v>
      </c>
      <c r="C135" s="134">
        <f t="shared" ca="1" si="27"/>
        <v>54.644808743169399</v>
      </c>
      <c r="D135" s="82">
        <f t="shared" ca="1" si="32"/>
        <v>0.45355191256830601</v>
      </c>
      <c r="E135" s="134">
        <f t="shared" ca="1" si="28"/>
        <v>13.66120218579235</v>
      </c>
      <c r="F135" s="82">
        <f t="shared" ca="1" si="21"/>
        <v>0.72677595628415304</v>
      </c>
      <c r="G135" s="134">
        <f t="shared" ca="1" si="29"/>
        <v>10.928961748633879</v>
      </c>
      <c r="H135" s="82">
        <f t="shared" ca="1" si="22"/>
        <v>0.45355191256830601</v>
      </c>
      <c r="I135" s="83">
        <f t="shared" ca="1" si="23"/>
        <v>63155.065842515447</v>
      </c>
      <c r="J135" s="83">
        <f t="shared" ca="1" si="33"/>
        <v>70390.6506614112</v>
      </c>
      <c r="K135" s="84">
        <f t="shared" ca="1" si="24"/>
        <v>-52418.704649287836</v>
      </c>
      <c r="L135" s="84">
        <f t="shared" ca="1" si="25"/>
        <v>-56726.835677386611</v>
      </c>
      <c r="M135" s="83">
        <f t="shared" ca="1" si="26"/>
        <v>50828.415300546454</v>
      </c>
      <c r="N135" s="85">
        <f t="shared" ca="1" si="30"/>
        <v>-1590.2893487413821</v>
      </c>
      <c r="O135" s="85">
        <f t="shared" ca="1" si="31"/>
        <v>-5898.4203768401567</v>
      </c>
    </row>
    <row r="136" spans="1:15" x14ac:dyDescent="0.35">
      <c r="A136" s="47">
        <v>27</v>
      </c>
      <c r="B136" s="86">
        <v>44011</v>
      </c>
      <c r="C136" s="134">
        <f t="shared" ca="1" si="27"/>
        <v>54.644808743169399</v>
      </c>
      <c r="D136" s="82">
        <f t="shared" ca="1" si="32"/>
        <v>0.45355191256830601</v>
      </c>
      <c r="E136" s="134">
        <f t="shared" ca="1" si="28"/>
        <v>13.66120218579235</v>
      </c>
      <c r="F136" s="82">
        <f t="shared" ca="1" si="21"/>
        <v>0.72677595628415304</v>
      </c>
      <c r="G136" s="134">
        <f t="shared" ca="1" si="29"/>
        <v>10.928961748633879</v>
      </c>
      <c r="H136" s="82">
        <f t="shared" ca="1" si="22"/>
        <v>0.45355191256830601</v>
      </c>
      <c r="I136" s="83">
        <f t="shared" ca="1" si="23"/>
        <v>63155.065842515447</v>
      </c>
      <c r="J136" s="83">
        <f t="shared" ca="1" si="33"/>
        <v>70390.6506614112</v>
      </c>
      <c r="K136" s="84">
        <f t="shared" ca="1" si="24"/>
        <v>-52418.704649287836</v>
      </c>
      <c r="L136" s="84">
        <f t="shared" ca="1" si="25"/>
        <v>-56726.835677386611</v>
      </c>
      <c r="M136" s="83">
        <f t="shared" ca="1" si="26"/>
        <v>50828.415300546454</v>
      </c>
      <c r="N136" s="85">
        <f t="shared" ca="1" si="30"/>
        <v>-1590.2893487413821</v>
      </c>
      <c r="O136" s="85">
        <f t="shared" ca="1" si="31"/>
        <v>-5898.4203768401567</v>
      </c>
    </row>
    <row r="137" spans="1:15" x14ac:dyDescent="0.35">
      <c r="A137" s="47">
        <v>27</v>
      </c>
      <c r="B137" s="86">
        <v>44012</v>
      </c>
      <c r="C137" s="134">
        <f t="shared" ca="1" si="27"/>
        <v>54.644808743169399</v>
      </c>
      <c r="D137" s="82">
        <f t="shared" ca="1" si="32"/>
        <v>0.45355191256830601</v>
      </c>
      <c r="E137" s="134">
        <f t="shared" ca="1" si="28"/>
        <v>13.66120218579235</v>
      </c>
      <c r="F137" s="82">
        <f t="shared" ca="1" si="21"/>
        <v>0.72677595628415304</v>
      </c>
      <c r="G137" s="134">
        <f t="shared" ca="1" si="29"/>
        <v>10.928961748633879</v>
      </c>
      <c r="H137" s="82">
        <f t="shared" ca="1" si="22"/>
        <v>0.45355191256830601</v>
      </c>
      <c r="I137" s="83">
        <f t="shared" ca="1" si="23"/>
        <v>63155.065842515447</v>
      </c>
      <c r="J137" s="83">
        <f t="shared" ca="1" si="33"/>
        <v>70390.6506614112</v>
      </c>
      <c r="K137" s="84">
        <f t="shared" ca="1" si="24"/>
        <v>-52418.704649287836</v>
      </c>
      <c r="L137" s="84">
        <f t="shared" ca="1" si="25"/>
        <v>-56726.835677386611</v>
      </c>
      <c r="M137" s="83">
        <f t="shared" ca="1" si="26"/>
        <v>50828.415300546454</v>
      </c>
      <c r="N137" s="85">
        <f t="shared" ca="1" si="30"/>
        <v>-1590.2893487413821</v>
      </c>
      <c r="O137" s="85">
        <f t="shared" ca="1" si="31"/>
        <v>-5898.4203768401567</v>
      </c>
    </row>
    <row r="138" spans="1:15" x14ac:dyDescent="0.35">
      <c r="A138" s="47">
        <v>27</v>
      </c>
      <c r="B138" s="86">
        <v>44013</v>
      </c>
      <c r="C138" s="134">
        <f t="shared" ca="1" si="27"/>
        <v>54.644808743169399</v>
      </c>
      <c r="D138" s="82">
        <f t="shared" ca="1" si="32"/>
        <v>0.45355191256830601</v>
      </c>
      <c r="E138" s="134">
        <f t="shared" ca="1" si="28"/>
        <v>13.66120218579235</v>
      </c>
      <c r="F138" s="82">
        <f t="shared" ca="1" si="21"/>
        <v>0.72677595628415304</v>
      </c>
      <c r="G138" s="134">
        <f t="shared" ca="1" si="29"/>
        <v>10.928961748633879</v>
      </c>
      <c r="H138" s="82">
        <f t="shared" ca="1" si="22"/>
        <v>0.45355191256830601</v>
      </c>
      <c r="I138" s="83">
        <f t="shared" ca="1" si="23"/>
        <v>63155.065842515447</v>
      </c>
      <c r="J138" s="83">
        <f t="shared" ca="1" si="33"/>
        <v>70390.6506614112</v>
      </c>
      <c r="K138" s="84">
        <f t="shared" ca="1" si="24"/>
        <v>-52418.704649287836</v>
      </c>
      <c r="L138" s="84">
        <f t="shared" ca="1" si="25"/>
        <v>-56726.835677386611</v>
      </c>
      <c r="M138" s="83">
        <f t="shared" ca="1" si="26"/>
        <v>50828.415300546454</v>
      </c>
      <c r="N138" s="85">
        <f t="shared" ca="1" si="30"/>
        <v>-1590.2893487413821</v>
      </c>
      <c r="O138" s="85">
        <f t="shared" ca="1" si="31"/>
        <v>-5898.4203768401567</v>
      </c>
    </row>
    <row r="139" spans="1:15" x14ac:dyDescent="0.35">
      <c r="A139" s="47">
        <v>27</v>
      </c>
      <c r="B139" s="86">
        <v>44014</v>
      </c>
      <c r="C139" s="134">
        <f t="shared" ca="1" si="27"/>
        <v>54.644808743169399</v>
      </c>
      <c r="D139" s="82">
        <f t="shared" ca="1" si="32"/>
        <v>0.45355191256830601</v>
      </c>
      <c r="E139" s="134">
        <f t="shared" ca="1" si="28"/>
        <v>13.66120218579235</v>
      </c>
      <c r="F139" s="82">
        <f t="shared" ca="1" si="21"/>
        <v>0.72677595628415304</v>
      </c>
      <c r="G139" s="134">
        <f t="shared" ca="1" si="29"/>
        <v>10.928961748633879</v>
      </c>
      <c r="H139" s="82">
        <f t="shared" ca="1" si="22"/>
        <v>0.45355191256830601</v>
      </c>
      <c r="I139" s="83">
        <f t="shared" ca="1" si="23"/>
        <v>63155.065842515447</v>
      </c>
      <c r="J139" s="83">
        <f t="shared" ca="1" si="33"/>
        <v>70390.6506614112</v>
      </c>
      <c r="K139" s="84">
        <f t="shared" ca="1" si="24"/>
        <v>-52418.704649287836</v>
      </c>
      <c r="L139" s="84">
        <f t="shared" ca="1" si="25"/>
        <v>-56726.835677386611</v>
      </c>
      <c r="M139" s="83">
        <f t="shared" ca="1" si="26"/>
        <v>50828.415300546454</v>
      </c>
      <c r="N139" s="85">
        <f t="shared" ca="1" si="30"/>
        <v>-1590.2893487413821</v>
      </c>
      <c r="O139" s="85">
        <f t="shared" ca="1" si="31"/>
        <v>-5898.4203768401567</v>
      </c>
    </row>
    <row r="140" spans="1:15" x14ac:dyDescent="0.35">
      <c r="A140" s="47">
        <v>27</v>
      </c>
      <c r="B140" s="86">
        <v>44015</v>
      </c>
      <c r="C140" s="134">
        <f t="shared" ca="1" si="27"/>
        <v>54.644808743169399</v>
      </c>
      <c r="D140" s="82">
        <f t="shared" ca="1" si="32"/>
        <v>0.45355191256830601</v>
      </c>
      <c r="E140" s="134">
        <f t="shared" ca="1" si="28"/>
        <v>13.66120218579235</v>
      </c>
      <c r="F140" s="82">
        <f t="shared" ca="1" si="21"/>
        <v>0.72677595628415304</v>
      </c>
      <c r="G140" s="134">
        <f t="shared" ca="1" si="29"/>
        <v>10.928961748633879</v>
      </c>
      <c r="H140" s="82">
        <f t="shared" ca="1" si="22"/>
        <v>0.45355191256830601</v>
      </c>
      <c r="I140" s="83">
        <f t="shared" ca="1" si="23"/>
        <v>63155.065842515447</v>
      </c>
      <c r="J140" s="83">
        <f t="shared" ca="1" si="33"/>
        <v>70390.6506614112</v>
      </c>
      <c r="K140" s="84">
        <f t="shared" ca="1" si="24"/>
        <v>-52418.704649287836</v>
      </c>
      <c r="L140" s="84">
        <f t="shared" ca="1" si="25"/>
        <v>-56726.835677386611</v>
      </c>
      <c r="M140" s="83">
        <f t="shared" ca="1" si="26"/>
        <v>50828.415300546454</v>
      </c>
      <c r="N140" s="85">
        <f t="shared" ca="1" si="30"/>
        <v>-1590.2893487413821</v>
      </c>
      <c r="O140" s="85">
        <f t="shared" ca="1" si="31"/>
        <v>-5898.4203768401567</v>
      </c>
    </row>
    <row r="141" spans="1:15" x14ac:dyDescent="0.35">
      <c r="A141" s="47">
        <v>27</v>
      </c>
      <c r="B141" s="86">
        <v>44016</v>
      </c>
      <c r="C141" s="134">
        <f t="shared" ca="1" si="27"/>
        <v>54.644808743169399</v>
      </c>
      <c r="D141" s="82">
        <f t="shared" ca="1" si="32"/>
        <v>0.45355191256830601</v>
      </c>
      <c r="E141" s="134">
        <f t="shared" ca="1" si="28"/>
        <v>13.66120218579235</v>
      </c>
      <c r="F141" s="82">
        <f t="shared" ca="1" si="21"/>
        <v>0.72677595628415304</v>
      </c>
      <c r="G141" s="134">
        <f t="shared" ca="1" si="29"/>
        <v>10.928961748633879</v>
      </c>
      <c r="H141" s="82">
        <f t="shared" ca="1" si="22"/>
        <v>0.45355191256830601</v>
      </c>
      <c r="I141" s="83">
        <f t="shared" ca="1" si="23"/>
        <v>63155.065842515447</v>
      </c>
      <c r="J141" s="83">
        <f t="shared" ca="1" si="33"/>
        <v>70390.6506614112</v>
      </c>
      <c r="K141" s="84">
        <f t="shared" ca="1" si="24"/>
        <v>-52418.704649287836</v>
      </c>
      <c r="L141" s="84">
        <f t="shared" ca="1" si="25"/>
        <v>-56726.835677386611</v>
      </c>
      <c r="M141" s="83">
        <f t="shared" ca="1" si="26"/>
        <v>50828.415300546454</v>
      </c>
      <c r="N141" s="85">
        <f t="shared" ca="1" si="30"/>
        <v>-1590.2893487413821</v>
      </c>
      <c r="O141" s="85">
        <f t="shared" ca="1" si="31"/>
        <v>-5898.4203768401567</v>
      </c>
    </row>
    <row r="142" spans="1:15" x14ac:dyDescent="0.35">
      <c r="A142" s="47">
        <v>27</v>
      </c>
      <c r="B142" s="86">
        <v>44017</v>
      </c>
      <c r="C142" s="134">
        <f t="shared" ca="1" si="27"/>
        <v>54.644808743169399</v>
      </c>
      <c r="D142" s="82">
        <f t="shared" ca="1" si="32"/>
        <v>0.45355191256830601</v>
      </c>
      <c r="E142" s="134">
        <f t="shared" ca="1" si="28"/>
        <v>13.66120218579235</v>
      </c>
      <c r="F142" s="82">
        <f t="shared" ca="1" si="21"/>
        <v>0.72677595628415304</v>
      </c>
      <c r="G142" s="134">
        <f t="shared" ca="1" si="29"/>
        <v>10.928961748633879</v>
      </c>
      <c r="H142" s="82">
        <f t="shared" ca="1" si="22"/>
        <v>0.45355191256830601</v>
      </c>
      <c r="I142" s="83">
        <f t="shared" ca="1" si="23"/>
        <v>63155.065842515447</v>
      </c>
      <c r="J142" s="83">
        <f t="shared" ca="1" si="33"/>
        <v>70390.6506614112</v>
      </c>
      <c r="K142" s="84">
        <f t="shared" ca="1" si="24"/>
        <v>-52418.704649287836</v>
      </c>
      <c r="L142" s="84">
        <f t="shared" ca="1" si="25"/>
        <v>-56726.835677386611</v>
      </c>
      <c r="M142" s="83">
        <f t="shared" ca="1" si="26"/>
        <v>50828.415300546454</v>
      </c>
      <c r="N142" s="85">
        <f t="shared" ca="1" si="30"/>
        <v>-1590.2893487413821</v>
      </c>
      <c r="O142" s="85">
        <f t="shared" ca="1" si="31"/>
        <v>-5898.4203768401567</v>
      </c>
    </row>
    <row r="143" spans="1:15" x14ac:dyDescent="0.35">
      <c r="A143" s="47">
        <v>28</v>
      </c>
      <c r="B143" s="86">
        <v>44018</v>
      </c>
      <c r="C143" s="134">
        <f t="shared" ca="1" si="27"/>
        <v>54.644808743169399</v>
      </c>
      <c r="D143" s="82">
        <f t="shared" ca="1" si="32"/>
        <v>0.45355191256830601</v>
      </c>
      <c r="E143" s="134">
        <f t="shared" ca="1" si="28"/>
        <v>13.66120218579235</v>
      </c>
      <c r="F143" s="82">
        <f t="shared" ca="1" si="21"/>
        <v>0.72677595628415304</v>
      </c>
      <c r="G143" s="134">
        <f t="shared" ca="1" si="29"/>
        <v>10.928961748633879</v>
      </c>
      <c r="H143" s="82">
        <f t="shared" ca="1" si="22"/>
        <v>0.45355191256830601</v>
      </c>
      <c r="I143" s="83">
        <f t="shared" ca="1" si="23"/>
        <v>63155.065842515447</v>
      </c>
      <c r="J143" s="83">
        <f t="shared" ca="1" si="33"/>
        <v>70390.6506614112</v>
      </c>
      <c r="K143" s="84">
        <f t="shared" ca="1" si="24"/>
        <v>-52418.704649287836</v>
      </c>
      <c r="L143" s="84">
        <f t="shared" ca="1" si="25"/>
        <v>-56726.835677386611</v>
      </c>
      <c r="M143" s="83">
        <f t="shared" ca="1" si="26"/>
        <v>50828.415300546454</v>
      </c>
      <c r="N143" s="85">
        <f t="shared" ca="1" si="30"/>
        <v>-1590.2893487413821</v>
      </c>
      <c r="O143" s="85">
        <f t="shared" ca="1" si="31"/>
        <v>-5898.4203768401567</v>
      </c>
    </row>
    <row r="144" spans="1:15" x14ac:dyDescent="0.35">
      <c r="A144" s="47">
        <v>28</v>
      </c>
      <c r="B144" s="86">
        <v>44019</v>
      </c>
      <c r="C144" s="134">
        <f t="shared" ca="1" si="27"/>
        <v>54.644808743169399</v>
      </c>
      <c r="D144" s="82">
        <f t="shared" ca="1" si="32"/>
        <v>0.45355191256830601</v>
      </c>
      <c r="E144" s="134">
        <f t="shared" ca="1" si="28"/>
        <v>13.66120218579235</v>
      </c>
      <c r="F144" s="82">
        <f t="shared" ca="1" si="21"/>
        <v>0.72677595628415304</v>
      </c>
      <c r="G144" s="134">
        <f t="shared" ca="1" si="29"/>
        <v>10.928961748633879</v>
      </c>
      <c r="H144" s="82">
        <f t="shared" ca="1" si="22"/>
        <v>0.45355191256830601</v>
      </c>
      <c r="I144" s="83">
        <f t="shared" ca="1" si="23"/>
        <v>63155.065842515447</v>
      </c>
      <c r="J144" s="83">
        <f t="shared" ca="1" si="33"/>
        <v>70390.6506614112</v>
      </c>
      <c r="K144" s="84">
        <f t="shared" ca="1" si="24"/>
        <v>-52418.704649287836</v>
      </c>
      <c r="L144" s="84">
        <f t="shared" ca="1" si="25"/>
        <v>-56726.835677386611</v>
      </c>
      <c r="M144" s="83">
        <f t="shared" ca="1" si="26"/>
        <v>50828.415300546454</v>
      </c>
      <c r="N144" s="85">
        <f t="shared" ca="1" si="30"/>
        <v>-1590.2893487413821</v>
      </c>
      <c r="O144" s="85">
        <f t="shared" ca="1" si="31"/>
        <v>-5898.4203768401567</v>
      </c>
    </row>
    <row r="145" spans="1:15" x14ac:dyDescent="0.35">
      <c r="A145" s="47">
        <v>28</v>
      </c>
      <c r="B145" s="86">
        <v>44020</v>
      </c>
      <c r="C145" s="134">
        <f t="shared" ca="1" si="27"/>
        <v>54.644808743169399</v>
      </c>
      <c r="D145" s="82">
        <f t="shared" ca="1" si="32"/>
        <v>0.45355191256830601</v>
      </c>
      <c r="E145" s="134">
        <f t="shared" ca="1" si="28"/>
        <v>13.66120218579235</v>
      </c>
      <c r="F145" s="82">
        <f t="shared" ca="1" si="21"/>
        <v>0.72677595628415304</v>
      </c>
      <c r="G145" s="134">
        <f t="shared" ca="1" si="29"/>
        <v>10.928961748633879</v>
      </c>
      <c r="H145" s="82">
        <f t="shared" ca="1" si="22"/>
        <v>0.45355191256830601</v>
      </c>
      <c r="I145" s="83">
        <f t="shared" ca="1" si="23"/>
        <v>63155.065842515447</v>
      </c>
      <c r="J145" s="83">
        <f t="shared" ca="1" si="33"/>
        <v>70390.6506614112</v>
      </c>
      <c r="K145" s="84">
        <f t="shared" ca="1" si="24"/>
        <v>-52418.704649287836</v>
      </c>
      <c r="L145" s="84">
        <f t="shared" ca="1" si="25"/>
        <v>-56726.835677386611</v>
      </c>
      <c r="M145" s="83">
        <f t="shared" ca="1" si="26"/>
        <v>50828.415300546454</v>
      </c>
      <c r="N145" s="85">
        <f t="shared" ca="1" si="30"/>
        <v>-1590.2893487413821</v>
      </c>
      <c r="O145" s="85">
        <f t="shared" ca="1" si="31"/>
        <v>-5898.4203768401567</v>
      </c>
    </row>
    <row r="146" spans="1:15" x14ac:dyDescent="0.35">
      <c r="A146" s="47">
        <v>28</v>
      </c>
      <c r="B146" s="86">
        <v>44021</v>
      </c>
      <c r="C146" s="134">
        <f t="shared" ca="1" si="27"/>
        <v>54.644808743169399</v>
      </c>
      <c r="D146" s="82">
        <f t="shared" ca="1" si="32"/>
        <v>0.45355191256830601</v>
      </c>
      <c r="E146" s="134">
        <f t="shared" ca="1" si="28"/>
        <v>13.66120218579235</v>
      </c>
      <c r="F146" s="82">
        <f t="shared" ca="1" si="21"/>
        <v>0.72677595628415304</v>
      </c>
      <c r="G146" s="134">
        <f t="shared" ca="1" si="29"/>
        <v>10.928961748633879</v>
      </c>
      <c r="H146" s="82">
        <f t="shared" ca="1" si="22"/>
        <v>0.45355191256830601</v>
      </c>
      <c r="I146" s="83">
        <f t="shared" ca="1" si="23"/>
        <v>63155.065842515447</v>
      </c>
      <c r="J146" s="83">
        <f t="shared" ca="1" si="33"/>
        <v>70390.6506614112</v>
      </c>
      <c r="K146" s="84">
        <f t="shared" ca="1" si="24"/>
        <v>-52418.704649287836</v>
      </c>
      <c r="L146" s="84">
        <f t="shared" ca="1" si="25"/>
        <v>-56726.835677386611</v>
      </c>
      <c r="M146" s="83">
        <f t="shared" ca="1" si="26"/>
        <v>50828.415300546454</v>
      </c>
      <c r="N146" s="85">
        <f t="shared" ca="1" si="30"/>
        <v>-1590.2893487413821</v>
      </c>
      <c r="O146" s="85">
        <f t="shared" ca="1" si="31"/>
        <v>-5898.4203768401567</v>
      </c>
    </row>
    <row r="147" spans="1:15" x14ac:dyDescent="0.35">
      <c r="A147" s="47">
        <v>28</v>
      </c>
      <c r="B147" s="86">
        <v>44022</v>
      </c>
      <c r="C147" s="134">
        <f t="shared" ca="1" si="27"/>
        <v>54.644808743169399</v>
      </c>
      <c r="D147" s="82">
        <f t="shared" ca="1" si="32"/>
        <v>0.45355191256830601</v>
      </c>
      <c r="E147" s="134">
        <f t="shared" ca="1" si="28"/>
        <v>13.66120218579235</v>
      </c>
      <c r="F147" s="82">
        <f t="shared" ca="1" si="21"/>
        <v>0.72677595628415304</v>
      </c>
      <c r="G147" s="134">
        <f t="shared" ca="1" si="29"/>
        <v>10.928961748633879</v>
      </c>
      <c r="H147" s="82">
        <f t="shared" ca="1" si="22"/>
        <v>0.45355191256830601</v>
      </c>
      <c r="I147" s="83">
        <f t="shared" ca="1" si="23"/>
        <v>63155.065842515447</v>
      </c>
      <c r="J147" s="83">
        <f t="shared" ca="1" si="33"/>
        <v>70390.6506614112</v>
      </c>
      <c r="K147" s="84">
        <f t="shared" ca="1" si="24"/>
        <v>-52418.704649287836</v>
      </c>
      <c r="L147" s="84">
        <f t="shared" ca="1" si="25"/>
        <v>-56726.835677386611</v>
      </c>
      <c r="M147" s="83">
        <f t="shared" ca="1" si="26"/>
        <v>50828.415300546454</v>
      </c>
      <c r="N147" s="85">
        <f t="shared" ca="1" si="30"/>
        <v>-1590.2893487413821</v>
      </c>
      <c r="O147" s="85">
        <f t="shared" ca="1" si="31"/>
        <v>-5898.4203768401567</v>
      </c>
    </row>
    <row r="148" spans="1:15" x14ac:dyDescent="0.35">
      <c r="A148" s="47">
        <v>28</v>
      </c>
      <c r="B148" s="86">
        <v>44023</v>
      </c>
      <c r="C148" s="134">
        <f t="shared" ca="1" si="27"/>
        <v>54.644808743169399</v>
      </c>
      <c r="D148" s="82">
        <f t="shared" ca="1" si="32"/>
        <v>0.45355191256830601</v>
      </c>
      <c r="E148" s="134">
        <f t="shared" ca="1" si="28"/>
        <v>13.66120218579235</v>
      </c>
      <c r="F148" s="82">
        <f t="shared" ca="1" si="21"/>
        <v>0.72677595628415304</v>
      </c>
      <c r="G148" s="134">
        <f t="shared" ca="1" si="29"/>
        <v>10.928961748633879</v>
      </c>
      <c r="H148" s="82">
        <f t="shared" ca="1" si="22"/>
        <v>0.45355191256830601</v>
      </c>
      <c r="I148" s="83">
        <f t="shared" ca="1" si="23"/>
        <v>63155.065842515447</v>
      </c>
      <c r="J148" s="83">
        <f t="shared" ca="1" si="33"/>
        <v>70390.6506614112</v>
      </c>
      <c r="K148" s="84">
        <f t="shared" ca="1" si="24"/>
        <v>-52418.704649287836</v>
      </c>
      <c r="L148" s="84">
        <f t="shared" ca="1" si="25"/>
        <v>-56726.835677386611</v>
      </c>
      <c r="M148" s="83">
        <f t="shared" ca="1" si="26"/>
        <v>50828.415300546454</v>
      </c>
      <c r="N148" s="85">
        <f t="shared" ca="1" si="30"/>
        <v>-1590.2893487413821</v>
      </c>
      <c r="O148" s="85">
        <f t="shared" ca="1" si="31"/>
        <v>-5898.4203768401567</v>
      </c>
    </row>
    <row r="149" spans="1:15" x14ac:dyDescent="0.35">
      <c r="A149" s="47">
        <v>28</v>
      </c>
      <c r="B149" s="86">
        <v>44024</v>
      </c>
      <c r="C149" s="134">
        <f t="shared" ca="1" si="27"/>
        <v>54.644808743169399</v>
      </c>
      <c r="D149" s="82">
        <f t="shared" ca="1" si="32"/>
        <v>0.45355191256830601</v>
      </c>
      <c r="E149" s="134">
        <f t="shared" ca="1" si="28"/>
        <v>13.66120218579235</v>
      </c>
      <c r="F149" s="82">
        <f t="shared" ca="1" si="21"/>
        <v>0.72677595628415304</v>
      </c>
      <c r="G149" s="134">
        <f t="shared" ca="1" si="29"/>
        <v>10.928961748633879</v>
      </c>
      <c r="H149" s="82">
        <f t="shared" ca="1" si="22"/>
        <v>0.45355191256830601</v>
      </c>
      <c r="I149" s="83">
        <f t="shared" ca="1" si="23"/>
        <v>63155.065842515447</v>
      </c>
      <c r="J149" s="83">
        <f t="shared" ca="1" si="33"/>
        <v>70390.6506614112</v>
      </c>
      <c r="K149" s="84">
        <f t="shared" ca="1" si="24"/>
        <v>-52418.704649287836</v>
      </c>
      <c r="L149" s="84">
        <f t="shared" ca="1" si="25"/>
        <v>-56726.835677386611</v>
      </c>
      <c r="M149" s="83">
        <f t="shared" ca="1" si="26"/>
        <v>50828.415300546454</v>
      </c>
      <c r="N149" s="85">
        <f t="shared" ca="1" si="30"/>
        <v>-1590.2893487413821</v>
      </c>
      <c r="O149" s="85">
        <f t="shared" ca="1" si="31"/>
        <v>-5898.4203768401567</v>
      </c>
    </row>
    <row r="150" spans="1:15" x14ac:dyDescent="0.35">
      <c r="A150" s="47">
        <v>29</v>
      </c>
      <c r="B150" s="86">
        <v>44025</v>
      </c>
      <c r="C150" s="134">
        <f t="shared" ref="C150:C181" ca="1" si="34">IF(B150&gt;=TODAY(),($D$5/$I$6),"")</f>
        <v>54.644808743169399</v>
      </c>
      <c r="D150" s="82">
        <f t="shared" ca="1" si="32"/>
        <v>0.45355191256830601</v>
      </c>
      <c r="E150" s="134">
        <f t="shared" ca="1" si="28"/>
        <v>13.66120218579235</v>
      </c>
      <c r="F150" s="82">
        <f t="shared" ca="1" si="21"/>
        <v>0.72677595628415304</v>
      </c>
      <c r="G150" s="134">
        <f t="shared" ca="1" si="29"/>
        <v>10.928961748633879</v>
      </c>
      <c r="H150" s="82">
        <f t="shared" ca="1" si="22"/>
        <v>0.45355191256830601</v>
      </c>
      <c r="I150" s="83">
        <f t="shared" ca="1" si="23"/>
        <v>63155.065842515447</v>
      </c>
      <c r="J150" s="83">
        <f t="shared" ca="1" si="33"/>
        <v>70390.6506614112</v>
      </c>
      <c r="K150" s="84">
        <f t="shared" ca="1" si="24"/>
        <v>-52418.704649287836</v>
      </c>
      <c r="L150" s="84">
        <f t="shared" ca="1" si="25"/>
        <v>-56726.835677386611</v>
      </c>
      <c r="M150" s="83">
        <f t="shared" ca="1" si="26"/>
        <v>50828.415300546454</v>
      </c>
      <c r="N150" s="85">
        <f t="shared" ca="1" si="30"/>
        <v>-1590.2893487413821</v>
      </c>
      <c r="O150" s="85">
        <f t="shared" ca="1" si="31"/>
        <v>-5898.4203768401567</v>
      </c>
    </row>
    <row r="151" spans="1:15" x14ac:dyDescent="0.35">
      <c r="A151" s="47">
        <v>29</v>
      </c>
      <c r="B151" s="86">
        <v>44026</v>
      </c>
      <c r="C151" s="134">
        <f t="shared" ca="1" si="34"/>
        <v>54.644808743169399</v>
      </c>
      <c r="D151" s="82">
        <f t="shared" ca="1" si="32"/>
        <v>0.45355191256830601</v>
      </c>
      <c r="E151" s="134">
        <f t="shared" ca="1" si="28"/>
        <v>13.66120218579235</v>
      </c>
      <c r="F151" s="82">
        <f t="shared" ca="1" si="21"/>
        <v>0.72677595628415304</v>
      </c>
      <c r="G151" s="134">
        <f t="shared" ca="1" si="29"/>
        <v>10.928961748633879</v>
      </c>
      <c r="H151" s="82">
        <f t="shared" ca="1" si="22"/>
        <v>0.45355191256830601</v>
      </c>
      <c r="I151" s="83">
        <f t="shared" ca="1" si="23"/>
        <v>63155.065842515447</v>
      </c>
      <c r="J151" s="83">
        <f t="shared" ca="1" si="33"/>
        <v>70390.6506614112</v>
      </c>
      <c r="K151" s="84">
        <f t="shared" ca="1" si="24"/>
        <v>-52418.704649287836</v>
      </c>
      <c r="L151" s="84">
        <f t="shared" ca="1" si="25"/>
        <v>-56726.835677386611</v>
      </c>
      <c r="M151" s="83">
        <f t="shared" ca="1" si="26"/>
        <v>50828.415300546454</v>
      </c>
      <c r="N151" s="85">
        <f t="shared" ca="1" si="30"/>
        <v>-1590.2893487413821</v>
      </c>
      <c r="O151" s="85">
        <f t="shared" ca="1" si="31"/>
        <v>-5898.4203768401567</v>
      </c>
    </row>
    <row r="152" spans="1:15" x14ac:dyDescent="0.35">
      <c r="A152" s="47">
        <v>29</v>
      </c>
      <c r="B152" s="86">
        <v>44027</v>
      </c>
      <c r="C152" s="134">
        <f t="shared" ca="1" si="34"/>
        <v>54.644808743169399</v>
      </c>
      <c r="D152" s="82">
        <f t="shared" ca="1" si="32"/>
        <v>0.45355191256830601</v>
      </c>
      <c r="E152" s="134">
        <f t="shared" ca="1" si="28"/>
        <v>13.66120218579235</v>
      </c>
      <c r="F152" s="82">
        <f t="shared" ca="1" si="21"/>
        <v>0.72677595628415304</v>
      </c>
      <c r="G152" s="134">
        <f t="shared" ca="1" si="29"/>
        <v>10.928961748633879</v>
      </c>
      <c r="H152" s="82">
        <f t="shared" ca="1" si="22"/>
        <v>0.45355191256830601</v>
      </c>
      <c r="I152" s="83">
        <f t="shared" ca="1" si="23"/>
        <v>63155.065842515447</v>
      </c>
      <c r="J152" s="83">
        <f t="shared" ca="1" si="33"/>
        <v>70390.6506614112</v>
      </c>
      <c r="K152" s="84">
        <f t="shared" ca="1" si="24"/>
        <v>-52418.704649287836</v>
      </c>
      <c r="L152" s="84">
        <f t="shared" ca="1" si="25"/>
        <v>-56726.835677386611</v>
      </c>
      <c r="M152" s="83">
        <f t="shared" ca="1" si="26"/>
        <v>50828.415300546454</v>
      </c>
      <c r="N152" s="85">
        <f t="shared" ref="N152:N183" ca="1" si="35">$M152+$K152</f>
        <v>-1590.2893487413821</v>
      </c>
      <c r="O152" s="85">
        <f t="shared" ref="O152:O183" ca="1" si="36">$M152+$L152</f>
        <v>-5898.4203768401567</v>
      </c>
    </row>
    <row r="153" spans="1:15" x14ac:dyDescent="0.35">
      <c r="A153" s="47">
        <v>29</v>
      </c>
      <c r="B153" s="86">
        <v>44028</v>
      </c>
      <c r="C153" s="134">
        <f t="shared" ca="1" si="34"/>
        <v>54.644808743169399</v>
      </c>
      <c r="D153" s="82">
        <f t="shared" ca="1" si="32"/>
        <v>0.45355191256830601</v>
      </c>
      <c r="E153" s="134">
        <f t="shared" ca="1" si="28"/>
        <v>13.66120218579235</v>
      </c>
      <c r="F153" s="82">
        <f t="shared" ca="1" si="21"/>
        <v>0.72677595628415304</v>
      </c>
      <c r="G153" s="134">
        <f t="shared" ca="1" si="29"/>
        <v>10.928961748633879</v>
      </c>
      <c r="H153" s="82">
        <f t="shared" ca="1" si="22"/>
        <v>0.45355191256830601</v>
      </c>
      <c r="I153" s="83">
        <f t="shared" ca="1" si="23"/>
        <v>63155.065842515447</v>
      </c>
      <c r="J153" s="83">
        <f t="shared" ca="1" si="33"/>
        <v>70390.6506614112</v>
      </c>
      <c r="K153" s="84">
        <f t="shared" ca="1" si="24"/>
        <v>-52418.704649287836</v>
      </c>
      <c r="L153" s="84">
        <f t="shared" ca="1" si="25"/>
        <v>-56726.835677386611</v>
      </c>
      <c r="M153" s="83">
        <f t="shared" ca="1" si="26"/>
        <v>50828.415300546454</v>
      </c>
      <c r="N153" s="85">
        <f t="shared" ca="1" si="35"/>
        <v>-1590.2893487413821</v>
      </c>
      <c r="O153" s="85">
        <f t="shared" ca="1" si="36"/>
        <v>-5898.4203768401567</v>
      </c>
    </row>
    <row r="154" spans="1:15" x14ac:dyDescent="0.35">
      <c r="A154" s="47">
        <v>29</v>
      </c>
      <c r="B154" s="86">
        <v>44029</v>
      </c>
      <c r="C154" s="134">
        <f t="shared" ca="1" si="34"/>
        <v>54.644808743169399</v>
      </c>
      <c r="D154" s="82">
        <f t="shared" ca="1" si="32"/>
        <v>0.45355191256830601</v>
      </c>
      <c r="E154" s="134">
        <f t="shared" ca="1" si="28"/>
        <v>13.66120218579235</v>
      </c>
      <c r="F154" s="82">
        <f t="shared" ca="1" si="21"/>
        <v>0.72677595628415304</v>
      </c>
      <c r="G154" s="134">
        <f t="shared" ca="1" si="29"/>
        <v>10.928961748633879</v>
      </c>
      <c r="H154" s="82">
        <f t="shared" ca="1" si="22"/>
        <v>0.45355191256830601</v>
      </c>
      <c r="I154" s="83">
        <f t="shared" ca="1" si="23"/>
        <v>63155.065842515447</v>
      </c>
      <c r="J154" s="83">
        <f t="shared" ca="1" si="33"/>
        <v>70390.6506614112</v>
      </c>
      <c r="K154" s="84">
        <f t="shared" ca="1" si="24"/>
        <v>-52418.704649287836</v>
      </c>
      <c r="L154" s="84">
        <f t="shared" ca="1" si="25"/>
        <v>-56726.835677386611</v>
      </c>
      <c r="M154" s="83">
        <f t="shared" ca="1" si="26"/>
        <v>50828.415300546454</v>
      </c>
      <c r="N154" s="85">
        <f t="shared" ca="1" si="35"/>
        <v>-1590.2893487413821</v>
      </c>
      <c r="O154" s="85">
        <f t="shared" ca="1" si="36"/>
        <v>-5898.4203768401567</v>
      </c>
    </row>
    <row r="155" spans="1:15" x14ac:dyDescent="0.35">
      <c r="A155" s="47">
        <v>29</v>
      </c>
      <c r="B155" s="86">
        <v>44030</v>
      </c>
      <c r="C155" s="134">
        <f t="shared" ca="1" si="34"/>
        <v>54.644808743169399</v>
      </c>
      <c r="D155" s="82">
        <f t="shared" ca="1" si="32"/>
        <v>0.45355191256830601</v>
      </c>
      <c r="E155" s="134">
        <f t="shared" ca="1" si="28"/>
        <v>13.66120218579235</v>
      </c>
      <c r="F155" s="82">
        <f t="shared" ca="1" si="21"/>
        <v>0.72677595628415304</v>
      </c>
      <c r="G155" s="134">
        <f t="shared" ca="1" si="29"/>
        <v>10.928961748633879</v>
      </c>
      <c r="H155" s="82">
        <f t="shared" ca="1" si="22"/>
        <v>0.45355191256830601</v>
      </c>
      <c r="I155" s="83">
        <f t="shared" ca="1" si="23"/>
        <v>63155.065842515447</v>
      </c>
      <c r="J155" s="83">
        <f t="shared" ca="1" si="33"/>
        <v>70390.6506614112</v>
      </c>
      <c r="K155" s="84">
        <f t="shared" ca="1" si="24"/>
        <v>-52418.704649287836</v>
      </c>
      <c r="L155" s="84">
        <f t="shared" ca="1" si="25"/>
        <v>-56726.835677386611</v>
      </c>
      <c r="M155" s="83">
        <f t="shared" ca="1" si="26"/>
        <v>50828.415300546454</v>
      </c>
      <c r="N155" s="85">
        <f t="shared" ca="1" si="35"/>
        <v>-1590.2893487413821</v>
      </c>
      <c r="O155" s="85">
        <f t="shared" ca="1" si="36"/>
        <v>-5898.4203768401567</v>
      </c>
    </row>
    <row r="156" spans="1:15" x14ac:dyDescent="0.35">
      <c r="A156" s="47">
        <v>29</v>
      </c>
      <c r="B156" s="86">
        <v>44031</v>
      </c>
      <c r="C156" s="134">
        <f t="shared" ca="1" si="34"/>
        <v>54.644808743169399</v>
      </c>
      <c r="D156" s="82">
        <f t="shared" ca="1" si="32"/>
        <v>0.45355191256830601</v>
      </c>
      <c r="E156" s="134">
        <f t="shared" ca="1" si="28"/>
        <v>13.66120218579235</v>
      </c>
      <c r="F156" s="82">
        <f t="shared" ca="1" si="21"/>
        <v>0.72677595628415304</v>
      </c>
      <c r="G156" s="134">
        <f t="shared" ca="1" si="29"/>
        <v>10.928961748633879</v>
      </c>
      <c r="H156" s="82">
        <f t="shared" ca="1" si="22"/>
        <v>0.45355191256830601</v>
      </c>
      <c r="I156" s="83">
        <f t="shared" ca="1" si="23"/>
        <v>63155.065842515447</v>
      </c>
      <c r="J156" s="83">
        <f t="shared" ca="1" si="33"/>
        <v>70390.6506614112</v>
      </c>
      <c r="K156" s="84">
        <f t="shared" ca="1" si="24"/>
        <v>-52418.704649287836</v>
      </c>
      <c r="L156" s="84">
        <f t="shared" ca="1" si="25"/>
        <v>-56726.835677386611</v>
      </c>
      <c r="M156" s="83">
        <f t="shared" ca="1" si="26"/>
        <v>50828.415300546454</v>
      </c>
      <c r="N156" s="85">
        <f t="shared" ca="1" si="35"/>
        <v>-1590.2893487413821</v>
      </c>
      <c r="O156" s="85">
        <f t="shared" ca="1" si="36"/>
        <v>-5898.4203768401567</v>
      </c>
    </row>
    <row r="157" spans="1:15" x14ac:dyDescent="0.35">
      <c r="A157" s="47">
        <v>30</v>
      </c>
      <c r="B157" s="86">
        <v>44032</v>
      </c>
      <c r="C157" s="134">
        <f t="shared" ca="1" si="34"/>
        <v>54.644808743169399</v>
      </c>
      <c r="D157" s="82">
        <f t="shared" ca="1" si="32"/>
        <v>0.45355191256830601</v>
      </c>
      <c r="E157" s="134">
        <f t="shared" ca="1" si="28"/>
        <v>13.66120218579235</v>
      </c>
      <c r="F157" s="82">
        <f t="shared" ca="1" si="21"/>
        <v>0.72677595628415304</v>
      </c>
      <c r="G157" s="134">
        <f t="shared" ca="1" si="29"/>
        <v>10.928961748633879</v>
      </c>
      <c r="H157" s="82">
        <f t="shared" ca="1" si="22"/>
        <v>0.45355191256830601</v>
      </c>
      <c r="I157" s="83">
        <f t="shared" ca="1" si="23"/>
        <v>63155.065842515447</v>
      </c>
      <c r="J157" s="83">
        <f t="shared" ca="1" si="33"/>
        <v>70390.6506614112</v>
      </c>
      <c r="K157" s="84">
        <f t="shared" ca="1" si="24"/>
        <v>-52418.704649287836</v>
      </c>
      <c r="L157" s="84">
        <f t="shared" ca="1" si="25"/>
        <v>-56726.835677386611</v>
      </c>
      <c r="M157" s="83">
        <f t="shared" ca="1" si="26"/>
        <v>50828.415300546454</v>
      </c>
      <c r="N157" s="85">
        <f t="shared" ca="1" si="35"/>
        <v>-1590.2893487413821</v>
      </c>
      <c r="O157" s="85">
        <f t="shared" ca="1" si="36"/>
        <v>-5898.4203768401567</v>
      </c>
    </row>
    <row r="158" spans="1:15" x14ac:dyDescent="0.35">
      <c r="A158" s="47">
        <v>30</v>
      </c>
      <c r="B158" s="86">
        <v>44033</v>
      </c>
      <c r="C158" s="134">
        <f t="shared" ca="1" si="34"/>
        <v>54.644808743169399</v>
      </c>
      <c r="D158" s="82">
        <f t="shared" ca="1" si="32"/>
        <v>0.45355191256830601</v>
      </c>
      <c r="E158" s="134">
        <f t="shared" ca="1" si="28"/>
        <v>13.66120218579235</v>
      </c>
      <c r="F158" s="82">
        <f t="shared" ca="1" si="21"/>
        <v>0.72677595628415304</v>
      </c>
      <c r="G158" s="134">
        <f t="shared" ca="1" si="29"/>
        <v>10.928961748633879</v>
      </c>
      <c r="H158" s="82">
        <f t="shared" ca="1" si="22"/>
        <v>0.45355191256830601</v>
      </c>
      <c r="I158" s="83">
        <f t="shared" ca="1" si="23"/>
        <v>63155.065842515447</v>
      </c>
      <c r="J158" s="83">
        <f t="shared" ca="1" si="33"/>
        <v>70390.6506614112</v>
      </c>
      <c r="K158" s="84">
        <f t="shared" ca="1" si="24"/>
        <v>-52418.704649287836</v>
      </c>
      <c r="L158" s="84">
        <f t="shared" ca="1" si="25"/>
        <v>-56726.835677386611</v>
      </c>
      <c r="M158" s="83">
        <f t="shared" ca="1" si="26"/>
        <v>50828.415300546454</v>
      </c>
      <c r="N158" s="85">
        <f t="shared" ca="1" si="35"/>
        <v>-1590.2893487413821</v>
      </c>
      <c r="O158" s="85">
        <f t="shared" ca="1" si="36"/>
        <v>-5898.4203768401567</v>
      </c>
    </row>
    <row r="159" spans="1:15" x14ac:dyDescent="0.35">
      <c r="A159" s="47">
        <v>30</v>
      </c>
      <c r="B159" s="86">
        <v>44034</v>
      </c>
      <c r="C159" s="134">
        <f t="shared" ca="1" si="34"/>
        <v>54.644808743169399</v>
      </c>
      <c r="D159" s="82">
        <f t="shared" ref="D159:D190" ca="1" si="37">-IFERROR((C159-$D$4)/$D$4,0)</f>
        <v>0.45355191256830601</v>
      </c>
      <c r="E159" s="134">
        <f t="shared" ca="1" si="28"/>
        <v>13.66120218579235</v>
      </c>
      <c r="F159" s="82">
        <f t="shared" ca="1" si="21"/>
        <v>0.72677595628415304</v>
      </c>
      <c r="G159" s="134">
        <f t="shared" ca="1" si="29"/>
        <v>10.928961748633879</v>
      </c>
      <c r="H159" s="82">
        <f t="shared" ca="1" si="22"/>
        <v>0.45355191256830601</v>
      </c>
      <c r="I159" s="83">
        <f t="shared" ca="1" si="23"/>
        <v>63155.065842515447</v>
      </c>
      <c r="J159" s="83">
        <f t="shared" ref="J159:J190" ca="1" si="38">(($D$15+$D$16)*(1-D159)+($D$17*(1-$I$4))+($D$18*(1-F159))+($D$19*(1-H159)))/$I$6</f>
        <v>70390.6506614112</v>
      </c>
      <c r="K159" s="84">
        <f t="shared" ca="1" si="24"/>
        <v>-52418.704649287836</v>
      </c>
      <c r="L159" s="84">
        <f t="shared" ca="1" si="25"/>
        <v>-56726.835677386611</v>
      </c>
      <c r="M159" s="83">
        <f t="shared" ca="1" si="26"/>
        <v>50828.415300546454</v>
      </c>
      <c r="N159" s="85">
        <f t="shared" ca="1" si="35"/>
        <v>-1590.2893487413821</v>
      </c>
      <c r="O159" s="85">
        <f t="shared" ca="1" si="36"/>
        <v>-5898.4203768401567</v>
      </c>
    </row>
    <row r="160" spans="1:15" x14ac:dyDescent="0.35">
      <c r="A160" s="47">
        <v>30</v>
      </c>
      <c r="B160" s="86">
        <v>44035</v>
      </c>
      <c r="C160" s="134">
        <f t="shared" ca="1" si="34"/>
        <v>54.644808743169399</v>
      </c>
      <c r="D160" s="82">
        <f t="shared" ca="1" si="37"/>
        <v>0.45355191256830601</v>
      </c>
      <c r="E160" s="134">
        <f t="shared" ca="1" si="28"/>
        <v>13.66120218579235</v>
      </c>
      <c r="F160" s="82">
        <f t="shared" ref="F160:F223" ca="1" si="39">-IFERROR((E160-$D$6)/$D$6,0)</f>
        <v>0.72677595628415304</v>
      </c>
      <c r="G160" s="134">
        <f t="shared" ca="1" si="29"/>
        <v>10.928961748633879</v>
      </c>
      <c r="H160" s="82">
        <f t="shared" ref="H160:H223" ca="1" si="40">-IFERROR((G160-$D$8)/$D$8,0)</f>
        <v>0.45355191256830601</v>
      </c>
      <c r="I160" s="83">
        <f t="shared" ref="I160:I223" ca="1" si="41">$D$22*(1-$D160)</f>
        <v>63155.065842515447</v>
      </c>
      <c r="J160" s="83">
        <f t="shared" ca="1" si="38"/>
        <v>70390.6506614112</v>
      </c>
      <c r="K160" s="84">
        <f t="shared" ref="K160:K223" ca="1" si="42">$I160-$D$22</f>
        <v>-52418.704649287836</v>
      </c>
      <c r="L160" s="84">
        <f t="shared" ref="L160:L223" ca="1" si="43">$J160-$D$23</f>
        <v>-56726.835677386611</v>
      </c>
      <c r="M160" s="83">
        <f t="shared" ref="M160:M223" ca="1" si="44">(($D$4-C160)+($D$6-E160)+($D$8-G160))*$I$5</f>
        <v>50828.415300546454</v>
      </c>
      <c r="N160" s="85">
        <f t="shared" ca="1" si="35"/>
        <v>-1590.2893487413821</v>
      </c>
      <c r="O160" s="85">
        <f t="shared" ca="1" si="36"/>
        <v>-5898.4203768401567</v>
      </c>
    </row>
    <row r="161" spans="1:15" x14ac:dyDescent="0.35">
      <c r="A161" s="47">
        <v>30</v>
      </c>
      <c r="B161" s="86">
        <v>44036</v>
      </c>
      <c r="C161" s="134">
        <f t="shared" ca="1" si="34"/>
        <v>54.644808743169399</v>
      </c>
      <c r="D161" s="82">
        <f t="shared" ca="1" si="37"/>
        <v>0.45355191256830601</v>
      </c>
      <c r="E161" s="134">
        <f t="shared" ca="1" si="28"/>
        <v>13.66120218579235</v>
      </c>
      <c r="F161" s="82">
        <f t="shared" ca="1" si="39"/>
        <v>0.72677595628415304</v>
      </c>
      <c r="G161" s="134">
        <f t="shared" ca="1" si="29"/>
        <v>10.928961748633879</v>
      </c>
      <c r="H161" s="82">
        <f t="shared" ca="1" si="40"/>
        <v>0.45355191256830601</v>
      </c>
      <c r="I161" s="83">
        <f t="shared" ca="1" si="41"/>
        <v>63155.065842515447</v>
      </c>
      <c r="J161" s="83">
        <f t="shared" ca="1" si="38"/>
        <v>70390.6506614112</v>
      </c>
      <c r="K161" s="84">
        <f t="shared" ca="1" si="42"/>
        <v>-52418.704649287836</v>
      </c>
      <c r="L161" s="84">
        <f t="shared" ca="1" si="43"/>
        <v>-56726.835677386611</v>
      </c>
      <c r="M161" s="83">
        <f t="shared" ca="1" si="44"/>
        <v>50828.415300546454</v>
      </c>
      <c r="N161" s="85">
        <f t="shared" ca="1" si="35"/>
        <v>-1590.2893487413821</v>
      </c>
      <c r="O161" s="85">
        <f t="shared" ca="1" si="36"/>
        <v>-5898.4203768401567</v>
      </c>
    </row>
    <row r="162" spans="1:15" x14ac:dyDescent="0.35">
      <c r="A162" s="47">
        <v>30</v>
      </c>
      <c r="B162" s="86">
        <v>44037</v>
      </c>
      <c r="C162" s="134">
        <f t="shared" ca="1" si="34"/>
        <v>54.644808743169399</v>
      </c>
      <c r="D162" s="82">
        <f t="shared" ca="1" si="37"/>
        <v>0.45355191256830601</v>
      </c>
      <c r="E162" s="134">
        <f t="shared" ca="1" si="28"/>
        <v>13.66120218579235</v>
      </c>
      <c r="F162" s="82">
        <f t="shared" ca="1" si="39"/>
        <v>0.72677595628415304</v>
      </c>
      <c r="G162" s="134">
        <f t="shared" ca="1" si="29"/>
        <v>10.928961748633879</v>
      </c>
      <c r="H162" s="82">
        <f t="shared" ca="1" si="40"/>
        <v>0.45355191256830601</v>
      </c>
      <c r="I162" s="83">
        <f t="shared" ca="1" si="41"/>
        <v>63155.065842515447</v>
      </c>
      <c r="J162" s="83">
        <f t="shared" ca="1" si="38"/>
        <v>70390.6506614112</v>
      </c>
      <c r="K162" s="84">
        <f t="shared" ca="1" si="42"/>
        <v>-52418.704649287836</v>
      </c>
      <c r="L162" s="84">
        <f t="shared" ca="1" si="43"/>
        <v>-56726.835677386611</v>
      </c>
      <c r="M162" s="83">
        <f t="shared" ca="1" si="44"/>
        <v>50828.415300546454</v>
      </c>
      <c r="N162" s="85">
        <f t="shared" ca="1" si="35"/>
        <v>-1590.2893487413821</v>
      </c>
      <c r="O162" s="85">
        <f t="shared" ca="1" si="36"/>
        <v>-5898.4203768401567</v>
      </c>
    </row>
    <row r="163" spans="1:15" x14ac:dyDescent="0.35">
      <c r="A163" s="47">
        <v>30</v>
      </c>
      <c r="B163" s="86">
        <v>44038</v>
      </c>
      <c r="C163" s="134">
        <f t="shared" ca="1" si="34"/>
        <v>54.644808743169399</v>
      </c>
      <c r="D163" s="82">
        <f t="shared" ca="1" si="37"/>
        <v>0.45355191256830601</v>
      </c>
      <c r="E163" s="134">
        <f t="shared" ca="1" si="28"/>
        <v>13.66120218579235</v>
      </c>
      <c r="F163" s="82">
        <f t="shared" ca="1" si="39"/>
        <v>0.72677595628415304</v>
      </c>
      <c r="G163" s="134">
        <f t="shared" ca="1" si="29"/>
        <v>10.928961748633879</v>
      </c>
      <c r="H163" s="82">
        <f t="shared" ca="1" si="40"/>
        <v>0.45355191256830601</v>
      </c>
      <c r="I163" s="83">
        <f t="shared" ca="1" si="41"/>
        <v>63155.065842515447</v>
      </c>
      <c r="J163" s="83">
        <f t="shared" ca="1" si="38"/>
        <v>70390.6506614112</v>
      </c>
      <c r="K163" s="84">
        <f t="shared" ca="1" si="42"/>
        <v>-52418.704649287836</v>
      </c>
      <c r="L163" s="84">
        <f t="shared" ca="1" si="43"/>
        <v>-56726.835677386611</v>
      </c>
      <c r="M163" s="83">
        <f t="shared" ca="1" si="44"/>
        <v>50828.415300546454</v>
      </c>
      <c r="N163" s="85">
        <f t="shared" ca="1" si="35"/>
        <v>-1590.2893487413821</v>
      </c>
      <c r="O163" s="85">
        <f t="shared" ca="1" si="36"/>
        <v>-5898.4203768401567</v>
      </c>
    </row>
    <row r="164" spans="1:15" x14ac:dyDescent="0.35">
      <c r="A164" s="47">
        <v>31</v>
      </c>
      <c r="B164" s="86">
        <v>44039</v>
      </c>
      <c r="C164" s="134">
        <f t="shared" ca="1" si="34"/>
        <v>54.644808743169399</v>
      </c>
      <c r="D164" s="82">
        <f t="shared" ca="1" si="37"/>
        <v>0.45355191256830601</v>
      </c>
      <c r="E164" s="134">
        <f t="shared" ca="1" si="28"/>
        <v>13.66120218579235</v>
      </c>
      <c r="F164" s="82">
        <f t="shared" ca="1" si="39"/>
        <v>0.72677595628415304</v>
      </c>
      <c r="G164" s="134">
        <f t="shared" ca="1" si="29"/>
        <v>10.928961748633879</v>
      </c>
      <c r="H164" s="82">
        <f t="shared" ca="1" si="40"/>
        <v>0.45355191256830601</v>
      </c>
      <c r="I164" s="83">
        <f t="shared" ca="1" si="41"/>
        <v>63155.065842515447</v>
      </c>
      <c r="J164" s="83">
        <f t="shared" ca="1" si="38"/>
        <v>70390.6506614112</v>
      </c>
      <c r="K164" s="84">
        <f t="shared" ca="1" si="42"/>
        <v>-52418.704649287836</v>
      </c>
      <c r="L164" s="84">
        <f t="shared" ca="1" si="43"/>
        <v>-56726.835677386611</v>
      </c>
      <c r="M164" s="83">
        <f t="shared" ca="1" si="44"/>
        <v>50828.415300546454</v>
      </c>
      <c r="N164" s="85">
        <f t="shared" ca="1" si="35"/>
        <v>-1590.2893487413821</v>
      </c>
      <c r="O164" s="85">
        <f t="shared" ca="1" si="36"/>
        <v>-5898.4203768401567</v>
      </c>
    </row>
    <row r="165" spans="1:15" x14ac:dyDescent="0.35">
      <c r="A165" s="47">
        <v>31</v>
      </c>
      <c r="B165" s="86">
        <v>44040</v>
      </c>
      <c r="C165" s="134">
        <f t="shared" ca="1" si="34"/>
        <v>54.644808743169399</v>
      </c>
      <c r="D165" s="82">
        <f t="shared" ca="1" si="37"/>
        <v>0.45355191256830601</v>
      </c>
      <c r="E165" s="134">
        <f t="shared" ca="1" si="28"/>
        <v>13.66120218579235</v>
      </c>
      <c r="F165" s="82">
        <f t="shared" ca="1" si="39"/>
        <v>0.72677595628415304</v>
      </c>
      <c r="G165" s="134">
        <f t="shared" ca="1" si="29"/>
        <v>10.928961748633879</v>
      </c>
      <c r="H165" s="82">
        <f t="shared" ca="1" si="40"/>
        <v>0.45355191256830601</v>
      </c>
      <c r="I165" s="83">
        <f t="shared" ca="1" si="41"/>
        <v>63155.065842515447</v>
      </c>
      <c r="J165" s="83">
        <f t="shared" ca="1" si="38"/>
        <v>70390.6506614112</v>
      </c>
      <c r="K165" s="84">
        <f t="shared" ca="1" si="42"/>
        <v>-52418.704649287836</v>
      </c>
      <c r="L165" s="84">
        <f t="shared" ca="1" si="43"/>
        <v>-56726.835677386611</v>
      </c>
      <c r="M165" s="83">
        <f t="shared" ca="1" si="44"/>
        <v>50828.415300546454</v>
      </c>
      <c r="N165" s="85">
        <f t="shared" ca="1" si="35"/>
        <v>-1590.2893487413821</v>
      </c>
      <c r="O165" s="85">
        <f t="shared" ca="1" si="36"/>
        <v>-5898.4203768401567</v>
      </c>
    </row>
    <row r="166" spans="1:15" x14ac:dyDescent="0.35">
      <c r="A166" s="47">
        <v>31</v>
      </c>
      <c r="B166" s="86">
        <v>44041</v>
      </c>
      <c r="C166" s="134">
        <f t="shared" ca="1" si="34"/>
        <v>54.644808743169399</v>
      </c>
      <c r="D166" s="82">
        <f t="shared" ca="1" si="37"/>
        <v>0.45355191256830601</v>
      </c>
      <c r="E166" s="134">
        <f t="shared" ca="1" si="28"/>
        <v>13.66120218579235</v>
      </c>
      <c r="F166" s="82">
        <f t="shared" ca="1" si="39"/>
        <v>0.72677595628415304</v>
      </c>
      <c r="G166" s="134">
        <f t="shared" ca="1" si="29"/>
        <v>10.928961748633879</v>
      </c>
      <c r="H166" s="82">
        <f t="shared" ca="1" si="40"/>
        <v>0.45355191256830601</v>
      </c>
      <c r="I166" s="83">
        <f t="shared" ca="1" si="41"/>
        <v>63155.065842515447</v>
      </c>
      <c r="J166" s="83">
        <f t="shared" ca="1" si="38"/>
        <v>70390.6506614112</v>
      </c>
      <c r="K166" s="84">
        <f t="shared" ca="1" si="42"/>
        <v>-52418.704649287836</v>
      </c>
      <c r="L166" s="84">
        <f t="shared" ca="1" si="43"/>
        <v>-56726.835677386611</v>
      </c>
      <c r="M166" s="83">
        <f t="shared" ca="1" si="44"/>
        <v>50828.415300546454</v>
      </c>
      <c r="N166" s="85">
        <f t="shared" ca="1" si="35"/>
        <v>-1590.2893487413821</v>
      </c>
      <c r="O166" s="85">
        <f t="shared" ca="1" si="36"/>
        <v>-5898.4203768401567</v>
      </c>
    </row>
    <row r="167" spans="1:15" x14ac:dyDescent="0.35">
      <c r="A167" s="47">
        <v>31</v>
      </c>
      <c r="B167" s="86">
        <v>44042</v>
      </c>
      <c r="C167" s="134">
        <f t="shared" ca="1" si="34"/>
        <v>54.644808743169399</v>
      </c>
      <c r="D167" s="82">
        <f t="shared" ca="1" si="37"/>
        <v>0.45355191256830601</v>
      </c>
      <c r="E167" s="134">
        <f t="shared" ca="1" si="28"/>
        <v>13.66120218579235</v>
      </c>
      <c r="F167" s="82">
        <f t="shared" ca="1" si="39"/>
        <v>0.72677595628415304</v>
      </c>
      <c r="G167" s="134">
        <f t="shared" ca="1" si="29"/>
        <v>10.928961748633879</v>
      </c>
      <c r="H167" s="82">
        <f t="shared" ca="1" si="40"/>
        <v>0.45355191256830601</v>
      </c>
      <c r="I167" s="83">
        <f t="shared" ca="1" si="41"/>
        <v>63155.065842515447</v>
      </c>
      <c r="J167" s="83">
        <f t="shared" ca="1" si="38"/>
        <v>70390.6506614112</v>
      </c>
      <c r="K167" s="84">
        <f t="shared" ca="1" si="42"/>
        <v>-52418.704649287836</v>
      </c>
      <c r="L167" s="84">
        <f t="shared" ca="1" si="43"/>
        <v>-56726.835677386611</v>
      </c>
      <c r="M167" s="83">
        <f t="shared" ca="1" si="44"/>
        <v>50828.415300546454</v>
      </c>
      <c r="N167" s="85">
        <f t="shared" ca="1" si="35"/>
        <v>-1590.2893487413821</v>
      </c>
      <c r="O167" s="85">
        <f t="shared" ca="1" si="36"/>
        <v>-5898.4203768401567</v>
      </c>
    </row>
    <row r="168" spans="1:15" x14ac:dyDescent="0.35">
      <c r="A168" s="47">
        <v>31</v>
      </c>
      <c r="B168" s="86">
        <v>44043</v>
      </c>
      <c r="C168" s="134">
        <f t="shared" ca="1" si="34"/>
        <v>54.644808743169399</v>
      </c>
      <c r="D168" s="82">
        <f t="shared" ca="1" si="37"/>
        <v>0.45355191256830601</v>
      </c>
      <c r="E168" s="134">
        <f t="shared" ca="1" si="28"/>
        <v>13.66120218579235</v>
      </c>
      <c r="F168" s="82">
        <f t="shared" ca="1" si="39"/>
        <v>0.72677595628415304</v>
      </c>
      <c r="G168" s="134">
        <f t="shared" ca="1" si="29"/>
        <v>10.928961748633879</v>
      </c>
      <c r="H168" s="82">
        <f t="shared" ca="1" si="40"/>
        <v>0.45355191256830601</v>
      </c>
      <c r="I168" s="83">
        <f t="shared" ca="1" si="41"/>
        <v>63155.065842515447</v>
      </c>
      <c r="J168" s="83">
        <f t="shared" ca="1" si="38"/>
        <v>70390.6506614112</v>
      </c>
      <c r="K168" s="84">
        <f t="shared" ca="1" si="42"/>
        <v>-52418.704649287836</v>
      </c>
      <c r="L168" s="84">
        <f t="shared" ca="1" si="43"/>
        <v>-56726.835677386611</v>
      </c>
      <c r="M168" s="83">
        <f t="shared" ca="1" si="44"/>
        <v>50828.415300546454</v>
      </c>
      <c r="N168" s="85">
        <f t="shared" ca="1" si="35"/>
        <v>-1590.2893487413821</v>
      </c>
      <c r="O168" s="85">
        <f t="shared" ca="1" si="36"/>
        <v>-5898.4203768401567</v>
      </c>
    </row>
    <row r="169" spans="1:15" x14ac:dyDescent="0.35">
      <c r="A169" s="47">
        <v>31</v>
      </c>
      <c r="B169" s="86">
        <v>44044</v>
      </c>
      <c r="C169" s="134">
        <f t="shared" ca="1" si="34"/>
        <v>54.644808743169399</v>
      </c>
      <c r="D169" s="82">
        <f t="shared" ca="1" si="37"/>
        <v>0.45355191256830601</v>
      </c>
      <c r="E169" s="134">
        <f t="shared" ca="1" si="28"/>
        <v>13.66120218579235</v>
      </c>
      <c r="F169" s="82">
        <f t="shared" ca="1" si="39"/>
        <v>0.72677595628415304</v>
      </c>
      <c r="G169" s="134">
        <f t="shared" ca="1" si="29"/>
        <v>10.928961748633879</v>
      </c>
      <c r="H169" s="82">
        <f t="shared" ca="1" si="40"/>
        <v>0.45355191256830601</v>
      </c>
      <c r="I169" s="83">
        <f t="shared" ca="1" si="41"/>
        <v>63155.065842515447</v>
      </c>
      <c r="J169" s="83">
        <f t="shared" ca="1" si="38"/>
        <v>70390.6506614112</v>
      </c>
      <c r="K169" s="84">
        <f t="shared" ca="1" si="42"/>
        <v>-52418.704649287836</v>
      </c>
      <c r="L169" s="84">
        <f t="shared" ca="1" si="43"/>
        <v>-56726.835677386611</v>
      </c>
      <c r="M169" s="83">
        <f t="shared" ca="1" si="44"/>
        <v>50828.415300546454</v>
      </c>
      <c r="N169" s="85">
        <f t="shared" ca="1" si="35"/>
        <v>-1590.2893487413821</v>
      </c>
      <c r="O169" s="85">
        <f t="shared" ca="1" si="36"/>
        <v>-5898.4203768401567</v>
      </c>
    </row>
    <row r="170" spans="1:15" x14ac:dyDescent="0.35">
      <c r="A170" s="47">
        <v>31</v>
      </c>
      <c r="B170" s="86">
        <v>44045</v>
      </c>
      <c r="C170" s="134">
        <f t="shared" ca="1" si="34"/>
        <v>54.644808743169399</v>
      </c>
      <c r="D170" s="82">
        <f t="shared" ca="1" si="37"/>
        <v>0.45355191256830601</v>
      </c>
      <c r="E170" s="134">
        <f t="shared" ca="1" si="28"/>
        <v>13.66120218579235</v>
      </c>
      <c r="F170" s="82">
        <f t="shared" ca="1" si="39"/>
        <v>0.72677595628415304</v>
      </c>
      <c r="G170" s="134">
        <f t="shared" ca="1" si="29"/>
        <v>10.928961748633879</v>
      </c>
      <c r="H170" s="82">
        <f t="shared" ca="1" si="40"/>
        <v>0.45355191256830601</v>
      </c>
      <c r="I170" s="83">
        <f t="shared" ca="1" si="41"/>
        <v>63155.065842515447</v>
      </c>
      <c r="J170" s="83">
        <f t="shared" ca="1" si="38"/>
        <v>70390.6506614112</v>
      </c>
      <c r="K170" s="84">
        <f t="shared" ca="1" si="42"/>
        <v>-52418.704649287836</v>
      </c>
      <c r="L170" s="84">
        <f t="shared" ca="1" si="43"/>
        <v>-56726.835677386611</v>
      </c>
      <c r="M170" s="83">
        <f t="shared" ca="1" si="44"/>
        <v>50828.415300546454</v>
      </c>
      <c r="N170" s="85">
        <f t="shared" ca="1" si="35"/>
        <v>-1590.2893487413821</v>
      </c>
      <c r="O170" s="85">
        <f t="shared" ca="1" si="36"/>
        <v>-5898.4203768401567</v>
      </c>
    </row>
    <row r="171" spans="1:15" x14ac:dyDescent="0.35">
      <c r="A171" s="47">
        <v>32</v>
      </c>
      <c r="B171" s="86">
        <v>44046</v>
      </c>
      <c r="C171" s="134">
        <f t="shared" ca="1" si="34"/>
        <v>54.644808743169399</v>
      </c>
      <c r="D171" s="82">
        <f t="shared" ca="1" si="37"/>
        <v>0.45355191256830601</v>
      </c>
      <c r="E171" s="134">
        <f t="shared" ca="1" si="28"/>
        <v>13.66120218579235</v>
      </c>
      <c r="F171" s="82">
        <f t="shared" ca="1" si="39"/>
        <v>0.72677595628415304</v>
      </c>
      <c r="G171" s="134">
        <f t="shared" ca="1" si="29"/>
        <v>10.928961748633879</v>
      </c>
      <c r="H171" s="82">
        <f t="shared" ca="1" si="40"/>
        <v>0.45355191256830601</v>
      </c>
      <c r="I171" s="83">
        <f t="shared" ca="1" si="41"/>
        <v>63155.065842515447</v>
      </c>
      <c r="J171" s="83">
        <f t="shared" ca="1" si="38"/>
        <v>70390.6506614112</v>
      </c>
      <c r="K171" s="84">
        <f t="shared" ca="1" si="42"/>
        <v>-52418.704649287836</v>
      </c>
      <c r="L171" s="84">
        <f t="shared" ca="1" si="43"/>
        <v>-56726.835677386611</v>
      </c>
      <c r="M171" s="83">
        <f t="shared" ca="1" si="44"/>
        <v>50828.415300546454</v>
      </c>
      <c r="N171" s="85">
        <f t="shared" ca="1" si="35"/>
        <v>-1590.2893487413821</v>
      </c>
      <c r="O171" s="85">
        <f t="shared" ca="1" si="36"/>
        <v>-5898.4203768401567</v>
      </c>
    </row>
    <row r="172" spans="1:15" x14ac:dyDescent="0.35">
      <c r="A172" s="47">
        <v>32</v>
      </c>
      <c r="B172" s="86">
        <v>44047</v>
      </c>
      <c r="C172" s="134">
        <f t="shared" ca="1" si="34"/>
        <v>54.644808743169399</v>
      </c>
      <c r="D172" s="82">
        <f t="shared" ca="1" si="37"/>
        <v>0.45355191256830601</v>
      </c>
      <c r="E172" s="134">
        <f t="shared" ca="1" si="28"/>
        <v>13.66120218579235</v>
      </c>
      <c r="F172" s="82">
        <f t="shared" ca="1" si="39"/>
        <v>0.72677595628415304</v>
      </c>
      <c r="G172" s="134">
        <f t="shared" ca="1" si="29"/>
        <v>10.928961748633879</v>
      </c>
      <c r="H172" s="82">
        <f t="shared" ca="1" si="40"/>
        <v>0.45355191256830601</v>
      </c>
      <c r="I172" s="83">
        <f t="shared" ca="1" si="41"/>
        <v>63155.065842515447</v>
      </c>
      <c r="J172" s="83">
        <f t="shared" ca="1" si="38"/>
        <v>70390.6506614112</v>
      </c>
      <c r="K172" s="84">
        <f t="shared" ca="1" si="42"/>
        <v>-52418.704649287836</v>
      </c>
      <c r="L172" s="84">
        <f t="shared" ca="1" si="43"/>
        <v>-56726.835677386611</v>
      </c>
      <c r="M172" s="83">
        <f t="shared" ca="1" si="44"/>
        <v>50828.415300546454</v>
      </c>
      <c r="N172" s="85">
        <f t="shared" ca="1" si="35"/>
        <v>-1590.2893487413821</v>
      </c>
      <c r="O172" s="85">
        <f t="shared" ca="1" si="36"/>
        <v>-5898.4203768401567</v>
      </c>
    </row>
    <row r="173" spans="1:15" x14ac:dyDescent="0.35">
      <c r="A173" s="47">
        <v>32</v>
      </c>
      <c r="B173" s="86">
        <v>44048</v>
      </c>
      <c r="C173" s="134">
        <f t="shared" ca="1" si="34"/>
        <v>54.644808743169399</v>
      </c>
      <c r="D173" s="82">
        <f t="shared" ca="1" si="37"/>
        <v>0.45355191256830601</v>
      </c>
      <c r="E173" s="134">
        <f t="shared" ca="1" si="28"/>
        <v>13.66120218579235</v>
      </c>
      <c r="F173" s="82">
        <f t="shared" ca="1" si="39"/>
        <v>0.72677595628415304</v>
      </c>
      <c r="G173" s="134">
        <f t="shared" ca="1" si="29"/>
        <v>10.928961748633879</v>
      </c>
      <c r="H173" s="82">
        <f t="shared" ca="1" si="40"/>
        <v>0.45355191256830601</v>
      </c>
      <c r="I173" s="83">
        <f t="shared" ca="1" si="41"/>
        <v>63155.065842515447</v>
      </c>
      <c r="J173" s="83">
        <f t="shared" ca="1" si="38"/>
        <v>70390.6506614112</v>
      </c>
      <c r="K173" s="84">
        <f t="shared" ca="1" si="42"/>
        <v>-52418.704649287836</v>
      </c>
      <c r="L173" s="84">
        <f t="shared" ca="1" si="43"/>
        <v>-56726.835677386611</v>
      </c>
      <c r="M173" s="83">
        <f t="shared" ca="1" si="44"/>
        <v>50828.415300546454</v>
      </c>
      <c r="N173" s="85">
        <f t="shared" ca="1" si="35"/>
        <v>-1590.2893487413821</v>
      </c>
      <c r="O173" s="85">
        <f t="shared" ca="1" si="36"/>
        <v>-5898.4203768401567</v>
      </c>
    </row>
    <row r="174" spans="1:15" x14ac:dyDescent="0.35">
      <c r="A174" s="47">
        <v>32</v>
      </c>
      <c r="B174" s="86">
        <v>44049</v>
      </c>
      <c r="C174" s="134">
        <f t="shared" ca="1" si="34"/>
        <v>54.644808743169399</v>
      </c>
      <c r="D174" s="82">
        <f t="shared" ca="1" si="37"/>
        <v>0.45355191256830601</v>
      </c>
      <c r="E174" s="134">
        <f t="shared" ca="1" si="28"/>
        <v>13.66120218579235</v>
      </c>
      <c r="F174" s="82">
        <f t="shared" ca="1" si="39"/>
        <v>0.72677595628415304</v>
      </c>
      <c r="G174" s="134">
        <f t="shared" ca="1" si="29"/>
        <v>10.928961748633879</v>
      </c>
      <c r="H174" s="82">
        <f t="shared" ca="1" si="40"/>
        <v>0.45355191256830601</v>
      </c>
      <c r="I174" s="83">
        <f t="shared" ca="1" si="41"/>
        <v>63155.065842515447</v>
      </c>
      <c r="J174" s="83">
        <f t="shared" ca="1" si="38"/>
        <v>70390.6506614112</v>
      </c>
      <c r="K174" s="84">
        <f t="shared" ca="1" si="42"/>
        <v>-52418.704649287836</v>
      </c>
      <c r="L174" s="84">
        <f t="shared" ca="1" si="43"/>
        <v>-56726.835677386611</v>
      </c>
      <c r="M174" s="83">
        <f t="shared" ca="1" si="44"/>
        <v>50828.415300546454</v>
      </c>
      <c r="N174" s="85">
        <f t="shared" ca="1" si="35"/>
        <v>-1590.2893487413821</v>
      </c>
      <c r="O174" s="85">
        <f t="shared" ca="1" si="36"/>
        <v>-5898.4203768401567</v>
      </c>
    </row>
    <row r="175" spans="1:15" x14ac:dyDescent="0.35">
      <c r="A175" s="47">
        <v>32</v>
      </c>
      <c r="B175" s="86">
        <v>44050</v>
      </c>
      <c r="C175" s="134">
        <f t="shared" ca="1" si="34"/>
        <v>54.644808743169399</v>
      </c>
      <c r="D175" s="82">
        <f t="shared" ca="1" si="37"/>
        <v>0.45355191256830601</v>
      </c>
      <c r="E175" s="134">
        <f t="shared" ca="1" si="28"/>
        <v>13.66120218579235</v>
      </c>
      <c r="F175" s="82">
        <f t="shared" ca="1" si="39"/>
        <v>0.72677595628415304</v>
      </c>
      <c r="G175" s="134">
        <f t="shared" ca="1" si="29"/>
        <v>10.928961748633879</v>
      </c>
      <c r="H175" s="82">
        <f t="shared" ca="1" si="40"/>
        <v>0.45355191256830601</v>
      </c>
      <c r="I175" s="83">
        <f t="shared" ca="1" si="41"/>
        <v>63155.065842515447</v>
      </c>
      <c r="J175" s="83">
        <f t="shared" ca="1" si="38"/>
        <v>70390.6506614112</v>
      </c>
      <c r="K175" s="84">
        <f t="shared" ca="1" si="42"/>
        <v>-52418.704649287836</v>
      </c>
      <c r="L175" s="84">
        <f t="shared" ca="1" si="43"/>
        <v>-56726.835677386611</v>
      </c>
      <c r="M175" s="83">
        <f t="shared" ca="1" si="44"/>
        <v>50828.415300546454</v>
      </c>
      <c r="N175" s="85">
        <f t="shared" ca="1" si="35"/>
        <v>-1590.2893487413821</v>
      </c>
      <c r="O175" s="85">
        <f t="shared" ca="1" si="36"/>
        <v>-5898.4203768401567</v>
      </c>
    </row>
    <row r="176" spans="1:15" x14ac:dyDescent="0.35">
      <c r="A176" s="47">
        <v>32</v>
      </c>
      <c r="B176" s="86">
        <v>44051</v>
      </c>
      <c r="C176" s="134">
        <f t="shared" ca="1" si="34"/>
        <v>54.644808743169399</v>
      </c>
      <c r="D176" s="82">
        <f t="shared" ca="1" si="37"/>
        <v>0.45355191256830601</v>
      </c>
      <c r="E176" s="134">
        <f t="shared" ca="1" si="28"/>
        <v>13.66120218579235</v>
      </c>
      <c r="F176" s="82">
        <f t="shared" ca="1" si="39"/>
        <v>0.72677595628415304</v>
      </c>
      <c r="G176" s="134">
        <f t="shared" ca="1" si="29"/>
        <v>10.928961748633879</v>
      </c>
      <c r="H176" s="82">
        <f t="shared" ca="1" si="40"/>
        <v>0.45355191256830601</v>
      </c>
      <c r="I176" s="83">
        <f t="shared" ca="1" si="41"/>
        <v>63155.065842515447</v>
      </c>
      <c r="J176" s="83">
        <f t="shared" ca="1" si="38"/>
        <v>70390.6506614112</v>
      </c>
      <c r="K176" s="84">
        <f t="shared" ca="1" si="42"/>
        <v>-52418.704649287836</v>
      </c>
      <c r="L176" s="84">
        <f t="shared" ca="1" si="43"/>
        <v>-56726.835677386611</v>
      </c>
      <c r="M176" s="83">
        <f t="shared" ca="1" si="44"/>
        <v>50828.415300546454</v>
      </c>
      <c r="N176" s="85">
        <f t="shared" ca="1" si="35"/>
        <v>-1590.2893487413821</v>
      </c>
      <c r="O176" s="85">
        <f t="shared" ca="1" si="36"/>
        <v>-5898.4203768401567</v>
      </c>
    </row>
    <row r="177" spans="1:15" x14ac:dyDescent="0.35">
      <c r="A177" s="47">
        <v>32</v>
      </c>
      <c r="B177" s="86">
        <v>44052</v>
      </c>
      <c r="C177" s="134">
        <f t="shared" ca="1" si="34"/>
        <v>54.644808743169399</v>
      </c>
      <c r="D177" s="82">
        <f t="shared" ca="1" si="37"/>
        <v>0.45355191256830601</v>
      </c>
      <c r="E177" s="134">
        <f t="shared" ca="1" si="28"/>
        <v>13.66120218579235</v>
      </c>
      <c r="F177" s="82">
        <f t="shared" ca="1" si="39"/>
        <v>0.72677595628415304</v>
      </c>
      <c r="G177" s="134">
        <f t="shared" ca="1" si="29"/>
        <v>10.928961748633879</v>
      </c>
      <c r="H177" s="82">
        <f t="shared" ca="1" si="40"/>
        <v>0.45355191256830601</v>
      </c>
      <c r="I177" s="83">
        <f t="shared" ca="1" si="41"/>
        <v>63155.065842515447</v>
      </c>
      <c r="J177" s="83">
        <f t="shared" ca="1" si="38"/>
        <v>70390.6506614112</v>
      </c>
      <c r="K177" s="84">
        <f t="shared" ca="1" si="42"/>
        <v>-52418.704649287836</v>
      </c>
      <c r="L177" s="84">
        <f t="shared" ca="1" si="43"/>
        <v>-56726.835677386611</v>
      </c>
      <c r="M177" s="83">
        <f t="shared" ca="1" si="44"/>
        <v>50828.415300546454</v>
      </c>
      <c r="N177" s="85">
        <f t="shared" ca="1" si="35"/>
        <v>-1590.2893487413821</v>
      </c>
      <c r="O177" s="85">
        <f t="shared" ca="1" si="36"/>
        <v>-5898.4203768401567</v>
      </c>
    </row>
    <row r="178" spans="1:15" x14ac:dyDescent="0.35">
      <c r="A178" s="47">
        <v>33</v>
      </c>
      <c r="B178" s="86">
        <v>44053</v>
      </c>
      <c r="C178" s="134">
        <f t="shared" ca="1" si="34"/>
        <v>54.644808743169399</v>
      </c>
      <c r="D178" s="82">
        <f t="shared" ca="1" si="37"/>
        <v>0.45355191256830601</v>
      </c>
      <c r="E178" s="134">
        <f t="shared" ca="1" si="28"/>
        <v>13.66120218579235</v>
      </c>
      <c r="F178" s="82">
        <f t="shared" ca="1" si="39"/>
        <v>0.72677595628415304</v>
      </c>
      <c r="G178" s="134">
        <f t="shared" ca="1" si="29"/>
        <v>10.928961748633879</v>
      </c>
      <c r="H178" s="82">
        <f t="shared" ca="1" si="40"/>
        <v>0.45355191256830601</v>
      </c>
      <c r="I178" s="83">
        <f t="shared" ca="1" si="41"/>
        <v>63155.065842515447</v>
      </c>
      <c r="J178" s="83">
        <f t="shared" ca="1" si="38"/>
        <v>70390.6506614112</v>
      </c>
      <c r="K178" s="84">
        <f t="shared" ca="1" si="42"/>
        <v>-52418.704649287836</v>
      </c>
      <c r="L178" s="84">
        <f t="shared" ca="1" si="43"/>
        <v>-56726.835677386611</v>
      </c>
      <c r="M178" s="83">
        <f t="shared" ca="1" si="44"/>
        <v>50828.415300546454</v>
      </c>
      <c r="N178" s="85">
        <f t="shared" ca="1" si="35"/>
        <v>-1590.2893487413821</v>
      </c>
      <c r="O178" s="85">
        <f t="shared" ca="1" si="36"/>
        <v>-5898.4203768401567</v>
      </c>
    </row>
    <row r="179" spans="1:15" x14ac:dyDescent="0.35">
      <c r="A179" s="47">
        <v>33</v>
      </c>
      <c r="B179" s="86">
        <v>44054</v>
      </c>
      <c r="C179" s="134">
        <f t="shared" ca="1" si="34"/>
        <v>54.644808743169399</v>
      </c>
      <c r="D179" s="82">
        <f t="shared" ca="1" si="37"/>
        <v>0.45355191256830601</v>
      </c>
      <c r="E179" s="134">
        <f t="shared" ca="1" si="28"/>
        <v>13.66120218579235</v>
      </c>
      <c r="F179" s="82">
        <f t="shared" ca="1" si="39"/>
        <v>0.72677595628415304</v>
      </c>
      <c r="G179" s="134">
        <f t="shared" ca="1" si="29"/>
        <v>10.928961748633879</v>
      </c>
      <c r="H179" s="82">
        <f t="shared" ca="1" si="40"/>
        <v>0.45355191256830601</v>
      </c>
      <c r="I179" s="83">
        <f t="shared" ca="1" si="41"/>
        <v>63155.065842515447</v>
      </c>
      <c r="J179" s="83">
        <f t="shared" ca="1" si="38"/>
        <v>70390.6506614112</v>
      </c>
      <c r="K179" s="84">
        <f t="shared" ca="1" si="42"/>
        <v>-52418.704649287836</v>
      </c>
      <c r="L179" s="84">
        <f t="shared" ca="1" si="43"/>
        <v>-56726.835677386611</v>
      </c>
      <c r="M179" s="83">
        <f t="shared" ca="1" si="44"/>
        <v>50828.415300546454</v>
      </c>
      <c r="N179" s="85">
        <f t="shared" ca="1" si="35"/>
        <v>-1590.2893487413821</v>
      </c>
      <c r="O179" s="85">
        <f t="shared" ca="1" si="36"/>
        <v>-5898.4203768401567</v>
      </c>
    </row>
    <row r="180" spans="1:15" x14ac:dyDescent="0.35">
      <c r="A180" s="47">
        <v>33</v>
      </c>
      <c r="B180" s="86">
        <v>44055</v>
      </c>
      <c r="C180" s="134">
        <f t="shared" ca="1" si="34"/>
        <v>54.644808743169399</v>
      </c>
      <c r="D180" s="82">
        <f t="shared" ca="1" si="37"/>
        <v>0.45355191256830601</v>
      </c>
      <c r="E180" s="134">
        <f t="shared" ca="1" si="28"/>
        <v>13.66120218579235</v>
      </c>
      <c r="F180" s="82">
        <f t="shared" ca="1" si="39"/>
        <v>0.72677595628415304</v>
      </c>
      <c r="G180" s="134">
        <f t="shared" ca="1" si="29"/>
        <v>10.928961748633879</v>
      </c>
      <c r="H180" s="82">
        <f t="shared" ca="1" si="40"/>
        <v>0.45355191256830601</v>
      </c>
      <c r="I180" s="83">
        <f t="shared" ca="1" si="41"/>
        <v>63155.065842515447</v>
      </c>
      <c r="J180" s="83">
        <f t="shared" ca="1" si="38"/>
        <v>70390.6506614112</v>
      </c>
      <c r="K180" s="84">
        <f t="shared" ca="1" si="42"/>
        <v>-52418.704649287836</v>
      </c>
      <c r="L180" s="84">
        <f t="shared" ca="1" si="43"/>
        <v>-56726.835677386611</v>
      </c>
      <c r="M180" s="83">
        <f t="shared" ca="1" si="44"/>
        <v>50828.415300546454</v>
      </c>
      <c r="N180" s="85">
        <f t="shared" ca="1" si="35"/>
        <v>-1590.2893487413821</v>
      </c>
      <c r="O180" s="85">
        <f t="shared" ca="1" si="36"/>
        <v>-5898.4203768401567</v>
      </c>
    </row>
    <row r="181" spans="1:15" x14ac:dyDescent="0.35">
      <c r="A181" s="47">
        <v>33</v>
      </c>
      <c r="B181" s="86">
        <v>44056</v>
      </c>
      <c r="C181" s="134">
        <f t="shared" ca="1" si="34"/>
        <v>54.644808743169399</v>
      </c>
      <c r="D181" s="82">
        <f t="shared" ca="1" si="37"/>
        <v>0.45355191256830601</v>
      </c>
      <c r="E181" s="134">
        <f t="shared" ca="1" si="28"/>
        <v>13.66120218579235</v>
      </c>
      <c r="F181" s="82">
        <f t="shared" ca="1" si="39"/>
        <v>0.72677595628415304</v>
      </c>
      <c r="G181" s="134">
        <f t="shared" ca="1" si="29"/>
        <v>10.928961748633879</v>
      </c>
      <c r="H181" s="82">
        <f t="shared" ca="1" si="40"/>
        <v>0.45355191256830601</v>
      </c>
      <c r="I181" s="83">
        <f t="shared" ca="1" si="41"/>
        <v>63155.065842515447</v>
      </c>
      <c r="J181" s="83">
        <f t="shared" ca="1" si="38"/>
        <v>70390.6506614112</v>
      </c>
      <c r="K181" s="84">
        <f t="shared" ca="1" si="42"/>
        <v>-52418.704649287836</v>
      </c>
      <c r="L181" s="84">
        <f t="shared" ca="1" si="43"/>
        <v>-56726.835677386611</v>
      </c>
      <c r="M181" s="83">
        <f t="shared" ca="1" si="44"/>
        <v>50828.415300546454</v>
      </c>
      <c r="N181" s="85">
        <f t="shared" ca="1" si="35"/>
        <v>-1590.2893487413821</v>
      </c>
      <c r="O181" s="85">
        <f t="shared" ca="1" si="36"/>
        <v>-5898.4203768401567</v>
      </c>
    </row>
    <row r="182" spans="1:15" x14ac:dyDescent="0.35">
      <c r="A182" s="47">
        <v>33</v>
      </c>
      <c r="B182" s="86">
        <v>44057</v>
      </c>
      <c r="C182" s="134">
        <f t="shared" ref="C182:C213" ca="1" si="45">IF(B182&gt;=TODAY(),($D$5/$I$6),"")</f>
        <v>54.644808743169399</v>
      </c>
      <c r="D182" s="82">
        <f t="shared" ca="1" si="37"/>
        <v>0.45355191256830601</v>
      </c>
      <c r="E182" s="134">
        <f t="shared" ca="1" si="28"/>
        <v>13.66120218579235</v>
      </c>
      <c r="F182" s="82">
        <f t="shared" ca="1" si="39"/>
        <v>0.72677595628415304</v>
      </c>
      <c r="G182" s="134">
        <f t="shared" ca="1" si="29"/>
        <v>10.928961748633879</v>
      </c>
      <c r="H182" s="82">
        <f t="shared" ca="1" si="40"/>
        <v>0.45355191256830601</v>
      </c>
      <c r="I182" s="83">
        <f t="shared" ca="1" si="41"/>
        <v>63155.065842515447</v>
      </c>
      <c r="J182" s="83">
        <f t="shared" ca="1" si="38"/>
        <v>70390.6506614112</v>
      </c>
      <c r="K182" s="84">
        <f t="shared" ca="1" si="42"/>
        <v>-52418.704649287836</v>
      </c>
      <c r="L182" s="84">
        <f t="shared" ca="1" si="43"/>
        <v>-56726.835677386611</v>
      </c>
      <c r="M182" s="83">
        <f t="shared" ca="1" si="44"/>
        <v>50828.415300546454</v>
      </c>
      <c r="N182" s="85">
        <f t="shared" ca="1" si="35"/>
        <v>-1590.2893487413821</v>
      </c>
      <c r="O182" s="85">
        <f t="shared" ca="1" si="36"/>
        <v>-5898.4203768401567</v>
      </c>
    </row>
    <row r="183" spans="1:15" x14ac:dyDescent="0.35">
      <c r="A183" s="47">
        <v>33</v>
      </c>
      <c r="B183" s="86">
        <v>44058</v>
      </c>
      <c r="C183" s="134">
        <f t="shared" ca="1" si="45"/>
        <v>54.644808743169399</v>
      </c>
      <c r="D183" s="82">
        <f t="shared" ca="1" si="37"/>
        <v>0.45355191256830601</v>
      </c>
      <c r="E183" s="134">
        <f t="shared" ref="E183:E229" ca="1" si="46">IF(B183&gt;=TODAY(),($D$7/$I$6),"")</f>
        <v>13.66120218579235</v>
      </c>
      <c r="F183" s="82">
        <f t="shared" ca="1" si="39"/>
        <v>0.72677595628415304</v>
      </c>
      <c r="G183" s="134">
        <f t="shared" ref="G183:G229" ca="1" si="47">IF(B183&gt;=TODAY(),($D$9/$I$6),"")</f>
        <v>10.928961748633879</v>
      </c>
      <c r="H183" s="82">
        <f t="shared" ca="1" si="40"/>
        <v>0.45355191256830601</v>
      </c>
      <c r="I183" s="83">
        <f t="shared" ca="1" si="41"/>
        <v>63155.065842515447</v>
      </c>
      <c r="J183" s="83">
        <f t="shared" ca="1" si="38"/>
        <v>70390.6506614112</v>
      </c>
      <c r="K183" s="84">
        <f t="shared" ca="1" si="42"/>
        <v>-52418.704649287836</v>
      </c>
      <c r="L183" s="84">
        <f t="shared" ca="1" si="43"/>
        <v>-56726.835677386611</v>
      </c>
      <c r="M183" s="83">
        <f t="shared" ca="1" si="44"/>
        <v>50828.415300546454</v>
      </c>
      <c r="N183" s="85">
        <f t="shared" ca="1" si="35"/>
        <v>-1590.2893487413821</v>
      </c>
      <c r="O183" s="85">
        <f t="shared" ca="1" si="36"/>
        <v>-5898.4203768401567</v>
      </c>
    </row>
    <row r="184" spans="1:15" x14ac:dyDescent="0.35">
      <c r="A184" s="47">
        <v>33</v>
      </c>
      <c r="B184" s="86">
        <v>44059</v>
      </c>
      <c r="C184" s="134">
        <f t="shared" ca="1" si="45"/>
        <v>54.644808743169399</v>
      </c>
      <c r="D184" s="82">
        <f t="shared" ca="1" si="37"/>
        <v>0.45355191256830601</v>
      </c>
      <c r="E184" s="134">
        <f t="shared" ca="1" si="46"/>
        <v>13.66120218579235</v>
      </c>
      <c r="F184" s="82">
        <f t="shared" ca="1" si="39"/>
        <v>0.72677595628415304</v>
      </c>
      <c r="G184" s="134">
        <f t="shared" ca="1" si="47"/>
        <v>10.928961748633879</v>
      </c>
      <c r="H184" s="82">
        <f t="shared" ca="1" si="40"/>
        <v>0.45355191256830601</v>
      </c>
      <c r="I184" s="83">
        <f t="shared" ca="1" si="41"/>
        <v>63155.065842515447</v>
      </c>
      <c r="J184" s="83">
        <f t="shared" ca="1" si="38"/>
        <v>70390.6506614112</v>
      </c>
      <c r="K184" s="84">
        <f t="shared" ca="1" si="42"/>
        <v>-52418.704649287836</v>
      </c>
      <c r="L184" s="84">
        <f t="shared" ca="1" si="43"/>
        <v>-56726.835677386611</v>
      </c>
      <c r="M184" s="83">
        <f t="shared" ca="1" si="44"/>
        <v>50828.415300546454</v>
      </c>
      <c r="N184" s="85">
        <f t="shared" ref="N184:N215" ca="1" si="48">$M184+$K184</f>
        <v>-1590.2893487413821</v>
      </c>
      <c r="O184" s="85">
        <f t="shared" ref="O184:O215" ca="1" si="49">$M184+$L184</f>
        <v>-5898.4203768401567</v>
      </c>
    </row>
    <row r="185" spans="1:15" x14ac:dyDescent="0.35">
      <c r="A185" s="47">
        <v>34</v>
      </c>
      <c r="B185" s="86">
        <v>44060</v>
      </c>
      <c r="C185" s="134">
        <f t="shared" ca="1" si="45"/>
        <v>54.644808743169399</v>
      </c>
      <c r="D185" s="82">
        <f t="shared" ca="1" si="37"/>
        <v>0.45355191256830601</v>
      </c>
      <c r="E185" s="134">
        <f t="shared" ca="1" si="46"/>
        <v>13.66120218579235</v>
      </c>
      <c r="F185" s="82">
        <f t="shared" ca="1" si="39"/>
        <v>0.72677595628415304</v>
      </c>
      <c r="G185" s="134">
        <f t="shared" ca="1" si="47"/>
        <v>10.928961748633879</v>
      </c>
      <c r="H185" s="82">
        <f t="shared" ca="1" si="40"/>
        <v>0.45355191256830601</v>
      </c>
      <c r="I185" s="83">
        <f t="shared" ca="1" si="41"/>
        <v>63155.065842515447</v>
      </c>
      <c r="J185" s="83">
        <f t="shared" ca="1" si="38"/>
        <v>70390.6506614112</v>
      </c>
      <c r="K185" s="84">
        <f t="shared" ca="1" si="42"/>
        <v>-52418.704649287836</v>
      </c>
      <c r="L185" s="84">
        <f t="shared" ca="1" si="43"/>
        <v>-56726.835677386611</v>
      </c>
      <c r="M185" s="83">
        <f t="shared" ca="1" si="44"/>
        <v>50828.415300546454</v>
      </c>
      <c r="N185" s="85">
        <f t="shared" ca="1" si="48"/>
        <v>-1590.2893487413821</v>
      </c>
      <c r="O185" s="85">
        <f t="shared" ca="1" si="49"/>
        <v>-5898.4203768401567</v>
      </c>
    </row>
    <row r="186" spans="1:15" x14ac:dyDescent="0.35">
      <c r="A186" s="47">
        <v>34</v>
      </c>
      <c r="B186" s="86">
        <v>44061</v>
      </c>
      <c r="C186" s="134">
        <f t="shared" ca="1" si="45"/>
        <v>54.644808743169399</v>
      </c>
      <c r="D186" s="82">
        <f t="shared" ca="1" si="37"/>
        <v>0.45355191256830601</v>
      </c>
      <c r="E186" s="134">
        <f t="shared" ca="1" si="46"/>
        <v>13.66120218579235</v>
      </c>
      <c r="F186" s="82">
        <f t="shared" ca="1" si="39"/>
        <v>0.72677595628415304</v>
      </c>
      <c r="G186" s="134">
        <f t="shared" ca="1" si="47"/>
        <v>10.928961748633879</v>
      </c>
      <c r="H186" s="82">
        <f t="shared" ca="1" si="40"/>
        <v>0.45355191256830601</v>
      </c>
      <c r="I186" s="83">
        <f t="shared" ca="1" si="41"/>
        <v>63155.065842515447</v>
      </c>
      <c r="J186" s="83">
        <f t="shared" ca="1" si="38"/>
        <v>70390.6506614112</v>
      </c>
      <c r="K186" s="84">
        <f t="shared" ca="1" si="42"/>
        <v>-52418.704649287836</v>
      </c>
      <c r="L186" s="84">
        <f t="shared" ca="1" si="43"/>
        <v>-56726.835677386611</v>
      </c>
      <c r="M186" s="83">
        <f t="shared" ca="1" si="44"/>
        <v>50828.415300546454</v>
      </c>
      <c r="N186" s="85">
        <f t="shared" ca="1" si="48"/>
        <v>-1590.2893487413821</v>
      </c>
      <c r="O186" s="85">
        <f t="shared" ca="1" si="49"/>
        <v>-5898.4203768401567</v>
      </c>
    </row>
    <row r="187" spans="1:15" x14ac:dyDescent="0.35">
      <c r="A187" s="47">
        <v>34</v>
      </c>
      <c r="B187" s="86">
        <v>44062</v>
      </c>
      <c r="C187" s="134">
        <f t="shared" ca="1" si="45"/>
        <v>54.644808743169399</v>
      </c>
      <c r="D187" s="82">
        <f t="shared" ca="1" si="37"/>
        <v>0.45355191256830601</v>
      </c>
      <c r="E187" s="134">
        <f t="shared" ca="1" si="46"/>
        <v>13.66120218579235</v>
      </c>
      <c r="F187" s="82">
        <f t="shared" ca="1" si="39"/>
        <v>0.72677595628415304</v>
      </c>
      <c r="G187" s="134">
        <f t="shared" ca="1" si="47"/>
        <v>10.928961748633879</v>
      </c>
      <c r="H187" s="82">
        <f t="shared" ca="1" si="40"/>
        <v>0.45355191256830601</v>
      </c>
      <c r="I187" s="83">
        <f t="shared" ca="1" si="41"/>
        <v>63155.065842515447</v>
      </c>
      <c r="J187" s="83">
        <f t="shared" ca="1" si="38"/>
        <v>70390.6506614112</v>
      </c>
      <c r="K187" s="84">
        <f t="shared" ca="1" si="42"/>
        <v>-52418.704649287836</v>
      </c>
      <c r="L187" s="84">
        <f t="shared" ca="1" si="43"/>
        <v>-56726.835677386611</v>
      </c>
      <c r="M187" s="83">
        <f t="shared" ca="1" si="44"/>
        <v>50828.415300546454</v>
      </c>
      <c r="N187" s="85">
        <f t="shared" ca="1" si="48"/>
        <v>-1590.2893487413821</v>
      </c>
      <c r="O187" s="85">
        <f t="shared" ca="1" si="49"/>
        <v>-5898.4203768401567</v>
      </c>
    </row>
    <row r="188" spans="1:15" x14ac:dyDescent="0.35">
      <c r="A188" s="47">
        <v>34</v>
      </c>
      <c r="B188" s="86">
        <v>44063</v>
      </c>
      <c r="C188" s="134">
        <f t="shared" ca="1" si="45"/>
        <v>54.644808743169399</v>
      </c>
      <c r="D188" s="82">
        <f t="shared" ca="1" si="37"/>
        <v>0.45355191256830601</v>
      </c>
      <c r="E188" s="134">
        <f t="shared" ca="1" si="46"/>
        <v>13.66120218579235</v>
      </c>
      <c r="F188" s="82">
        <f t="shared" ca="1" si="39"/>
        <v>0.72677595628415304</v>
      </c>
      <c r="G188" s="134">
        <f t="shared" ca="1" si="47"/>
        <v>10.928961748633879</v>
      </c>
      <c r="H188" s="82">
        <f t="shared" ca="1" si="40"/>
        <v>0.45355191256830601</v>
      </c>
      <c r="I188" s="83">
        <f t="shared" ca="1" si="41"/>
        <v>63155.065842515447</v>
      </c>
      <c r="J188" s="83">
        <f t="shared" ca="1" si="38"/>
        <v>70390.6506614112</v>
      </c>
      <c r="K188" s="84">
        <f t="shared" ca="1" si="42"/>
        <v>-52418.704649287836</v>
      </c>
      <c r="L188" s="84">
        <f t="shared" ca="1" si="43"/>
        <v>-56726.835677386611</v>
      </c>
      <c r="M188" s="83">
        <f t="shared" ca="1" si="44"/>
        <v>50828.415300546454</v>
      </c>
      <c r="N188" s="85">
        <f t="shared" ca="1" si="48"/>
        <v>-1590.2893487413821</v>
      </c>
      <c r="O188" s="85">
        <f t="shared" ca="1" si="49"/>
        <v>-5898.4203768401567</v>
      </c>
    </row>
    <row r="189" spans="1:15" x14ac:dyDescent="0.35">
      <c r="A189" s="47">
        <v>34</v>
      </c>
      <c r="B189" s="86">
        <v>44064</v>
      </c>
      <c r="C189" s="134">
        <f t="shared" ca="1" si="45"/>
        <v>54.644808743169399</v>
      </c>
      <c r="D189" s="82">
        <f t="shared" ca="1" si="37"/>
        <v>0.45355191256830601</v>
      </c>
      <c r="E189" s="134">
        <f t="shared" ca="1" si="46"/>
        <v>13.66120218579235</v>
      </c>
      <c r="F189" s="82">
        <f t="shared" ca="1" si="39"/>
        <v>0.72677595628415304</v>
      </c>
      <c r="G189" s="134">
        <f t="shared" ca="1" si="47"/>
        <v>10.928961748633879</v>
      </c>
      <c r="H189" s="82">
        <f t="shared" ca="1" si="40"/>
        <v>0.45355191256830601</v>
      </c>
      <c r="I189" s="83">
        <f t="shared" ca="1" si="41"/>
        <v>63155.065842515447</v>
      </c>
      <c r="J189" s="83">
        <f t="shared" ca="1" si="38"/>
        <v>70390.6506614112</v>
      </c>
      <c r="K189" s="84">
        <f t="shared" ca="1" si="42"/>
        <v>-52418.704649287836</v>
      </c>
      <c r="L189" s="84">
        <f t="shared" ca="1" si="43"/>
        <v>-56726.835677386611</v>
      </c>
      <c r="M189" s="83">
        <f t="shared" ca="1" si="44"/>
        <v>50828.415300546454</v>
      </c>
      <c r="N189" s="85">
        <f t="shared" ca="1" si="48"/>
        <v>-1590.2893487413821</v>
      </c>
      <c r="O189" s="85">
        <f t="shared" ca="1" si="49"/>
        <v>-5898.4203768401567</v>
      </c>
    </row>
    <row r="190" spans="1:15" x14ac:dyDescent="0.35">
      <c r="A190" s="47">
        <v>34</v>
      </c>
      <c r="B190" s="86">
        <v>44065</v>
      </c>
      <c r="C190" s="134">
        <f t="shared" ca="1" si="45"/>
        <v>54.644808743169399</v>
      </c>
      <c r="D190" s="82">
        <f t="shared" ca="1" si="37"/>
        <v>0.45355191256830601</v>
      </c>
      <c r="E190" s="134">
        <f t="shared" ca="1" si="46"/>
        <v>13.66120218579235</v>
      </c>
      <c r="F190" s="82">
        <f t="shared" ca="1" si="39"/>
        <v>0.72677595628415304</v>
      </c>
      <c r="G190" s="134">
        <f t="shared" ca="1" si="47"/>
        <v>10.928961748633879</v>
      </c>
      <c r="H190" s="82">
        <f t="shared" ca="1" si="40"/>
        <v>0.45355191256830601</v>
      </c>
      <c r="I190" s="83">
        <f t="shared" ca="1" si="41"/>
        <v>63155.065842515447</v>
      </c>
      <c r="J190" s="83">
        <f t="shared" ca="1" si="38"/>
        <v>70390.6506614112</v>
      </c>
      <c r="K190" s="84">
        <f t="shared" ca="1" si="42"/>
        <v>-52418.704649287836</v>
      </c>
      <c r="L190" s="84">
        <f t="shared" ca="1" si="43"/>
        <v>-56726.835677386611</v>
      </c>
      <c r="M190" s="83">
        <f t="shared" ca="1" si="44"/>
        <v>50828.415300546454</v>
      </c>
      <c r="N190" s="85">
        <f t="shared" ca="1" si="48"/>
        <v>-1590.2893487413821</v>
      </c>
      <c r="O190" s="85">
        <f t="shared" ca="1" si="49"/>
        <v>-5898.4203768401567</v>
      </c>
    </row>
    <row r="191" spans="1:15" x14ac:dyDescent="0.35">
      <c r="A191" s="47">
        <v>34</v>
      </c>
      <c r="B191" s="86">
        <v>44066</v>
      </c>
      <c r="C191" s="134">
        <f t="shared" ca="1" si="45"/>
        <v>54.644808743169399</v>
      </c>
      <c r="D191" s="82">
        <f t="shared" ref="D191:D222" ca="1" si="50">-IFERROR((C191-$D$4)/$D$4,0)</f>
        <v>0.45355191256830601</v>
      </c>
      <c r="E191" s="134">
        <f t="shared" ca="1" si="46"/>
        <v>13.66120218579235</v>
      </c>
      <c r="F191" s="82">
        <f t="shared" ca="1" si="39"/>
        <v>0.72677595628415304</v>
      </c>
      <c r="G191" s="134">
        <f t="shared" ca="1" si="47"/>
        <v>10.928961748633879</v>
      </c>
      <c r="H191" s="82">
        <f t="shared" ca="1" si="40"/>
        <v>0.45355191256830601</v>
      </c>
      <c r="I191" s="83">
        <f t="shared" ca="1" si="41"/>
        <v>63155.065842515447</v>
      </c>
      <c r="J191" s="83">
        <f t="shared" ref="J191:J222" ca="1" si="51">(($D$15+$D$16)*(1-D191)+($D$17*(1-$I$4))+($D$18*(1-F191))+($D$19*(1-H191)))/$I$6</f>
        <v>70390.6506614112</v>
      </c>
      <c r="K191" s="84">
        <f t="shared" ca="1" si="42"/>
        <v>-52418.704649287836</v>
      </c>
      <c r="L191" s="84">
        <f t="shared" ca="1" si="43"/>
        <v>-56726.835677386611</v>
      </c>
      <c r="M191" s="83">
        <f t="shared" ca="1" si="44"/>
        <v>50828.415300546454</v>
      </c>
      <c r="N191" s="85">
        <f t="shared" ca="1" si="48"/>
        <v>-1590.2893487413821</v>
      </c>
      <c r="O191" s="85">
        <f t="shared" ca="1" si="49"/>
        <v>-5898.4203768401567</v>
      </c>
    </row>
    <row r="192" spans="1:15" x14ac:dyDescent="0.35">
      <c r="A192" s="47">
        <v>35</v>
      </c>
      <c r="B192" s="86">
        <v>44067</v>
      </c>
      <c r="C192" s="134">
        <f t="shared" ca="1" si="45"/>
        <v>54.644808743169399</v>
      </c>
      <c r="D192" s="82">
        <f t="shared" ca="1" si="50"/>
        <v>0.45355191256830601</v>
      </c>
      <c r="E192" s="134">
        <f t="shared" ca="1" si="46"/>
        <v>13.66120218579235</v>
      </c>
      <c r="F192" s="82">
        <f t="shared" ca="1" si="39"/>
        <v>0.72677595628415304</v>
      </c>
      <c r="G192" s="134">
        <f t="shared" ca="1" si="47"/>
        <v>10.928961748633879</v>
      </c>
      <c r="H192" s="82">
        <f t="shared" ca="1" si="40"/>
        <v>0.45355191256830601</v>
      </c>
      <c r="I192" s="83">
        <f t="shared" ca="1" si="41"/>
        <v>63155.065842515447</v>
      </c>
      <c r="J192" s="83">
        <f t="shared" ca="1" si="51"/>
        <v>70390.6506614112</v>
      </c>
      <c r="K192" s="84">
        <f t="shared" ca="1" si="42"/>
        <v>-52418.704649287836</v>
      </c>
      <c r="L192" s="84">
        <f t="shared" ca="1" si="43"/>
        <v>-56726.835677386611</v>
      </c>
      <c r="M192" s="83">
        <f t="shared" ca="1" si="44"/>
        <v>50828.415300546454</v>
      </c>
      <c r="N192" s="85">
        <f t="shared" ca="1" si="48"/>
        <v>-1590.2893487413821</v>
      </c>
      <c r="O192" s="85">
        <f t="shared" ca="1" si="49"/>
        <v>-5898.4203768401567</v>
      </c>
    </row>
    <row r="193" spans="1:15" x14ac:dyDescent="0.35">
      <c r="A193" s="47">
        <v>35</v>
      </c>
      <c r="B193" s="86">
        <v>44068</v>
      </c>
      <c r="C193" s="134">
        <f t="shared" ca="1" si="45"/>
        <v>54.644808743169399</v>
      </c>
      <c r="D193" s="82">
        <f t="shared" ca="1" si="50"/>
        <v>0.45355191256830601</v>
      </c>
      <c r="E193" s="134">
        <f t="shared" ca="1" si="46"/>
        <v>13.66120218579235</v>
      </c>
      <c r="F193" s="82">
        <f t="shared" ca="1" si="39"/>
        <v>0.72677595628415304</v>
      </c>
      <c r="G193" s="134">
        <f t="shared" ca="1" si="47"/>
        <v>10.928961748633879</v>
      </c>
      <c r="H193" s="82">
        <f t="shared" ca="1" si="40"/>
        <v>0.45355191256830601</v>
      </c>
      <c r="I193" s="83">
        <f t="shared" ca="1" si="41"/>
        <v>63155.065842515447</v>
      </c>
      <c r="J193" s="83">
        <f t="shared" ca="1" si="51"/>
        <v>70390.6506614112</v>
      </c>
      <c r="K193" s="84">
        <f t="shared" ca="1" si="42"/>
        <v>-52418.704649287836</v>
      </c>
      <c r="L193" s="84">
        <f t="shared" ca="1" si="43"/>
        <v>-56726.835677386611</v>
      </c>
      <c r="M193" s="83">
        <f t="shared" ca="1" si="44"/>
        <v>50828.415300546454</v>
      </c>
      <c r="N193" s="85">
        <f t="shared" ca="1" si="48"/>
        <v>-1590.2893487413821</v>
      </c>
      <c r="O193" s="85">
        <f t="shared" ca="1" si="49"/>
        <v>-5898.4203768401567</v>
      </c>
    </row>
    <row r="194" spans="1:15" x14ac:dyDescent="0.35">
      <c r="A194" s="47">
        <v>35</v>
      </c>
      <c r="B194" s="86">
        <v>44069</v>
      </c>
      <c r="C194" s="134">
        <f t="shared" ca="1" si="45"/>
        <v>54.644808743169399</v>
      </c>
      <c r="D194" s="82">
        <f t="shared" ca="1" si="50"/>
        <v>0.45355191256830601</v>
      </c>
      <c r="E194" s="134">
        <f t="shared" ca="1" si="46"/>
        <v>13.66120218579235</v>
      </c>
      <c r="F194" s="82">
        <f t="shared" ca="1" si="39"/>
        <v>0.72677595628415304</v>
      </c>
      <c r="G194" s="134">
        <f t="shared" ca="1" si="47"/>
        <v>10.928961748633879</v>
      </c>
      <c r="H194" s="82">
        <f t="shared" ca="1" si="40"/>
        <v>0.45355191256830601</v>
      </c>
      <c r="I194" s="83">
        <f t="shared" ca="1" si="41"/>
        <v>63155.065842515447</v>
      </c>
      <c r="J194" s="83">
        <f t="shared" ca="1" si="51"/>
        <v>70390.6506614112</v>
      </c>
      <c r="K194" s="84">
        <f t="shared" ca="1" si="42"/>
        <v>-52418.704649287836</v>
      </c>
      <c r="L194" s="84">
        <f t="shared" ca="1" si="43"/>
        <v>-56726.835677386611</v>
      </c>
      <c r="M194" s="83">
        <f t="shared" ca="1" si="44"/>
        <v>50828.415300546454</v>
      </c>
      <c r="N194" s="85">
        <f t="shared" ca="1" si="48"/>
        <v>-1590.2893487413821</v>
      </c>
      <c r="O194" s="85">
        <f t="shared" ca="1" si="49"/>
        <v>-5898.4203768401567</v>
      </c>
    </row>
    <row r="195" spans="1:15" x14ac:dyDescent="0.35">
      <c r="A195" s="47">
        <v>35</v>
      </c>
      <c r="B195" s="86">
        <v>44070</v>
      </c>
      <c r="C195" s="134">
        <f t="shared" ca="1" si="45"/>
        <v>54.644808743169399</v>
      </c>
      <c r="D195" s="82">
        <f t="shared" ca="1" si="50"/>
        <v>0.45355191256830601</v>
      </c>
      <c r="E195" s="134">
        <f t="shared" ca="1" si="46"/>
        <v>13.66120218579235</v>
      </c>
      <c r="F195" s="82">
        <f t="shared" ca="1" si="39"/>
        <v>0.72677595628415304</v>
      </c>
      <c r="G195" s="134">
        <f t="shared" ca="1" si="47"/>
        <v>10.928961748633879</v>
      </c>
      <c r="H195" s="82">
        <f t="shared" ca="1" si="40"/>
        <v>0.45355191256830601</v>
      </c>
      <c r="I195" s="83">
        <f t="shared" ca="1" si="41"/>
        <v>63155.065842515447</v>
      </c>
      <c r="J195" s="83">
        <f t="shared" ca="1" si="51"/>
        <v>70390.6506614112</v>
      </c>
      <c r="K195" s="84">
        <f t="shared" ca="1" si="42"/>
        <v>-52418.704649287836</v>
      </c>
      <c r="L195" s="84">
        <f t="shared" ca="1" si="43"/>
        <v>-56726.835677386611</v>
      </c>
      <c r="M195" s="83">
        <f t="shared" ca="1" si="44"/>
        <v>50828.415300546454</v>
      </c>
      <c r="N195" s="85">
        <f t="shared" ca="1" si="48"/>
        <v>-1590.2893487413821</v>
      </c>
      <c r="O195" s="85">
        <f t="shared" ca="1" si="49"/>
        <v>-5898.4203768401567</v>
      </c>
    </row>
    <row r="196" spans="1:15" x14ac:dyDescent="0.35">
      <c r="A196" s="47">
        <v>35</v>
      </c>
      <c r="B196" s="86">
        <v>44071</v>
      </c>
      <c r="C196" s="134">
        <f t="shared" ca="1" si="45"/>
        <v>54.644808743169399</v>
      </c>
      <c r="D196" s="82">
        <f t="shared" ca="1" si="50"/>
        <v>0.45355191256830601</v>
      </c>
      <c r="E196" s="134">
        <f t="shared" ca="1" si="46"/>
        <v>13.66120218579235</v>
      </c>
      <c r="F196" s="82">
        <f t="shared" ca="1" si="39"/>
        <v>0.72677595628415304</v>
      </c>
      <c r="G196" s="134">
        <f t="shared" ca="1" si="47"/>
        <v>10.928961748633879</v>
      </c>
      <c r="H196" s="82">
        <f t="shared" ca="1" si="40"/>
        <v>0.45355191256830601</v>
      </c>
      <c r="I196" s="83">
        <f t="shared" ca="1" si="41"/>
        <v>63155.065842515447</v>
      </c>
      <c r="J196" s="83">
        <f t="shared" ca="1" si="51"/>
        <v>70390.6506614112</v>
      </c>
      <c r="K196" s="84">
        <f t="shared" ca="1" si="42"/>
        <v>-52418.704649287836</v>
      </c>
      <c r="L196" s="84">
        <f t="shared" ca="1" si="43"/>
        <v>-56726.835677386611</v>
      </c>
      <c r="M196" s="83">
        <f t="shared" ca="1" si="44"/>
        <v>50828.415300546454</v>
      </c>
      <c r="N196" s="85">
        <f t="shared" ca="1" si="48"/>
        <v>-1590.2893487413821</v>
      </c>
      <c r="O196" s="85">
        <f t="shared" ca="1" si="49"/>
        <v>-5898.4203768401567</v>
      </c>
    </row>
    <row r="197" spans="1:15" x14ac:dyDescent="0.35">
      <c r="A197" s="47">
        <v>35</v>
      </c>
      <c r="B197" s="86">
        <v>44072</v>
      </c>
      <c r="C197" s="134">
        <f t="shared" ca="1" si="45"/>
        <v>54.644808743169399</v>
      </c>
      <c r="D197" s="82">
        <f t="shared" ca="1" si="50"/>
        <v>0.45355191256830601</v>
      </c>
      <c r="E197" s="134">
        <f t="shared" ca="1" si="46"/>
        <v>13.66120218579235</v>
      </c>
      <c r="F197" s="82">
        <f t="shared" ca="1" si="39"/>
        <v>0.72677595628415304</v>
      </c>
      <c r="G197" s="134">
        <f t="shared" ca="1" si="47"/>
        <v>10.928961748633879</v>
      </c>
      <c r="H197" s="82">
        <f t="shared" ca="1" si="40"/>
        <v>0.45355191256830601</v>
      </c>
      <c r="I197" s="83">
        <f t="shared" ca="1" si="41"/>
        <v>63155.065842515447</v>
      </c>
      <c r="J197" s="83">
        <f t="shared" ca="1" si="51"/>
        <v>70390.6506614112</v>
      </c>
      <c r="K197" s="84">
        <f t="shared" ca="1" si="42"/>
        <v>-52418.704649287836</v>
      </c>
      <c r="L197" s="84">
        <f t="shared" ca="1" si="43"/>
        <v>-56726.835677386611</v>
      </c>
      <c r="M197" s="83">
        <f t="shared" ca="1" si="44"/>
        <v>50828.415300546454</v>
      </c>
      <c r="N197" s="85">
        <f t="shared" ca="1" si="48"/>
        <v>-1590.2893487413821</v>
      </c>
      <c r="O197" s="85">
        <f t="shared" ca="1" si="49"/>
        <v>-5898.4203768401567</v>
      </c>
    </row>
    <row r="198" spans="1:15" x14ac:dyDescent="0.35">
      <c r="A198" s="47">
        <v>35</v>
      </c>
      <c r="B198" s="86">
        <v>44073</v>
      </c>
      <c r="C198" s="134">
        <f t="shared" ca="1" si="45"/>
        <v>54.644808743169399</v>
      </c>
      <c r="D198" s="82">
        <f t="shared" ca="1" si="50"/>
        <v>0.45355191256830601</v>
      </c>
      <c r="E198" s="134">
        <f t="shared" ca="1" si="46"/>
        <v>13.66120218579235</v>
      </c>
      <c r="F198" s="82">
        <f t="shared" ca="1" si="39"/>
        <v>0.72677595628415304</v>
      </c>
      <c r="G198" s="134">
        <f t="shared" ca="1" si="47"/>
        <v>10.928961748633879</v>
      </c>
      <c r="H198" s="82">
        <f t="shared" ca="1" si="40"/>
        <v>0.45355191256830601</v>
      </c>
      <c r="I198" s="83">
        <f t="shared" ca="1" si="41"/>
        <v>63155.065842515447</v>
      </c>
      <c r="J198" s="83">
        <f t="shared" ca="1" si="51"/>
        <v>70390.6506614112</v>
      </c>
      <c r="K198" s="84">
        <f t="shared" ca="1" si="42"/>
        <v>-52418.704649287836</v>
      </c>
      <c r="L198" s="84">
        <f t="shared" ca="1" si="43"/>
        <v>-56726.835677386611</v>
      </c>
      <c r="M198" s="83">
        <f t="shared" ca="1" si="44"/>
        <v>50828.415300546454</v>
      </c>
      <c r="N198" s="85">
        <f t="shared" ca="1" si="48"/>
        <v>-1590.2893487413821</v>
      </c>
      <c r="O198" s="85">
        <f t="shared" ca="1" si="49"/>
        <v>-5898.4203768401567</v>
      </c>
    </row>
    <row r="199" spans="1:15" x14ac:dyDescent="0.35">
      <c r="A199" s="47">
        <v>36</v>
      </c>
      <c r="B199" s="86">
        <v>44074</v>
      </c>
      <c r="C199" s="134">
        <f t="shared" ca="1" si="45"/>
        <v>54.644808743169399</v>
      </c>
      <c r="D199" s="82">
        <f t="shared" ca="1" si="50"/>
        <v>0.45355191256830601</v>
      </c>
      <c r="E199" s="134">
        <f t="shared" ca="1" si="46"/>
        <v>13.66120218579235</v>
      </c>
      <c r="F199" s="82">
        <f t="shared" ca="1" si="39"/>
        <v>0.72677595628415304</v>
      </c>
      <c r="G199" s="134">
        <f t="shared" ca="1" si="47"/>
        <v>10.928961748633879</v>
      </c>
      <c r="H199" s="82">
        <f t="shared" ca="1" si="40"/>
        <v>0.45355191256830601</v>
      </c>
      <c r="I199" s="83">
        <f t="shared" ca="1" si="41"/>
        <v>63155.065842515447</v>
      </c>
      <c r="J199" s="83">
        <f t="shared" ca="1" si="51"/>
        <v>70390.6506614112</v>
      </c>
      <c r="K199" s="84">
        <f t="shared" ca="1" si="42"/>
        <v>-52418.704649287836</v>
      </c>
      <c r="L199" s="84">
        <f t="shared" ca="1" si="43"/>
        <v>-56726.835677386611</v>
      </c>
      <c r="M199" s="83">
        <f t="shared" ca="1" si="44"/>
        <v>50828.415300546454</v>
      </c>
      <c r="N199" s="85">
        <f t="shared" ca="1" si="48"/>
        <v>-1590.2893487413821</v>
      </c>
      <c r="O199" s="85">
        <f t="shared" ca="1" si="49"/>
        <v>-5898.4203768401567</v>
      </c>
    </row>
    <row r="200" spans="1:15" x14ac:dyDescent="0.35">
      <c r="A200" s="47">
        <v>36</v>
      </c>
      <c r="B200" s="86">
        <v>44075</v>
      </c>
      <c r="C200" s="134">
        <f t="shared" ca="1" si="45"/>
        <v>54.644808743169399</v>
      </c>
      <c r="D200" s="82">
        <f t="shared" ca="1" si="50"/>
        <v>0.45355191256830601</v>
      </c>
      <c r="E200" s="134">
        <f t="shared" ca="1" si="46"/>
        <v>13.66120218579235</v>
      </c>
      <c r="F200" s="82">
        <f t="shared" ca="1" si="39"/>
        <v>0.72677595628415304</v>
      </c>
      <c r="G200" s="134">
        <f t="shared" ca="1" si="47"/>
        <v>10.928961748633879</v>
      </c>
      <c r="H200" s="82">
        <f t="shared" ca="1" si="40"/>
        <v>0.45355191256830601</v>
      </c>
      <c r="I200" s="83">
        <f t="shared" ca="1" si="41"/>
        <v>63155.065842515447</v>
      </c>
      <c r="J200" s="83">
        <f t="shared" ca="1" si="51"/>
        <v>70390.6506614112</v>
      </c>
      <c r="K200" s="84">
        <f t="shared" ca="1" si="42"/>
        <v>-52418.704649287836</v>
      </c>
      <c r="L200" s="84">
        <f t="shared" ca="1" si="43"/>
        <v>-56726.835677386611</v>
      </c>
      <c r="M200" s="83">
        <f t="shared" ca="1" si="44"/>
        <v>50828.415300546454</v>
      </c>
      <c r="N200" s="85">
        <f t="shared" ca="1" si="48"/>
        <v>-1590.2893487413821</v>
      </c>
      <c r="O200" s="85">
        <f t="shared" ca="1" si="49"/>
        <v>-5898.4203768401567</v>
      </c>
    </row>
    <row r="201" spans="1:15" x14ac:dyDescent="0.35">
      <c r="A201" s="47">
        <v>36</v>
      </c>
      <c r="B201" s="86">
        <v>44076</v>
      </c>
      <c r="C201" s="134">
        <f t="shared" ca="1" si="45"/>
        <v>54.644808743169399</v>
      </c>
      <c r="D201" s="82">
        <f t="shared" ca="1" si="50"/>
        <v>0.45355191256830601</v>
      </c>
      <c r="E201" s="134">
        <f t="shared" ca="1" si="46"/>
        <v>13.66120218579235</v>
      </c>
      <c r="F201" s="82">
        <f t="shared" ca="1" si="39"/>
        <v>0.72677595628415304</v>
      </c>
      <c r="G201" s="134">
        <f t="shared" ca="1" si="47"/>
        <v>10.928961748633879</v>
      </c>
      <c r="H201" s="82">
        <f t="shared" ca="1" si="40"/>
        <v>0.45355191256830601</v>
      </c>
      <c r="I201" s="83">
        <f t="shared" ca="1" si="41"/>
        <v>63155.065842515447</v>
      </c>
      <c r="J201" s="83">
        <f t="shared" ca="1" si="51"/>
        <v>70390.6506614112</v>
      </c>
      <c r="K201" s="84">
        <f t="shared" ca="1" si="42"/>
        <v>-52418.704649287836</v>
      </c>
      <c r="L201" s="84">
        <f t="shared" ca="1" si="43"/>
        <v>-56726.835677386611</v>
      </c>
      <c r="M201" s="83">
        <f t="shared" ca="1" si="44"/>
        <v>50828.415300546454</v>
      </c>
      <c r="N201" s="85">
        <f t="shared" ca="1" si="48"/>
        <v>-1590.2893487413821</v>
      </c>
      <c r="O201" s="85">
        <f t="shared" ca="1" si="49"/>
        <v>-5898.4203768401567</v>
      </c>
    </row>
    <row r="202" spans="1:15" x14ac:dyDescent="0.35">
      <c r="A202" s="47">
        <v>36</v>
      </c>
      <c r="B202" s="86">
        <v>44077</v>
      </c>
      <c r="C202" s="134">
        <f t="shared" ca="1" si="45"/>
        <v>54.644808743169399</v>
      </c>
      <c r="D202" s="82">
        <f t="shared" ca="1" si="50"/>
        <v>0.45355191256830601</v>
      </c>
      <c r="E202" s="134">
        <f t="shared" ca="1" si="46"/>
        <v>13.66120218579235</v>
      </c>
      <c r="F202" s="82">
        <f t="shared" ca="1" si="39"/>
        <v>0.72677595628415304</v>
      </c>
      <c r="G202" s="134">
        <f t="shared" ca="1" si="47"/>
        <v>10.928961748633879</v>
      </c>
      <c r="H202" s="82">
        <f t="shared" ca="1" si="40"/>
        <v>0.45355191256830601</v>
      </c>
      <c r="I202" s="83">
        <f t="shared" ca="1" si="41"/>
        <v>63155.065842515447</v>
      </c>
      <c r="J202" s="83">
        <f t="shared" ca="1" si="51"/>
        <v>70390.6506614112</v>
      </c>
      <c r="K202" s="84">
        <f t="shared" ca="1" si="42"/>
        <v>-52418.704649287836</v>
      </c>
      <c r="L202" s="84">
        <f t="shared" ca="1" si="43"/>
        <v>-56726.835677386611</v>
      </c>
      <c r="M202" s="83">
        <f t="shared" ca="1" si="44"/>
        <v>50828.415300546454</v>
      </c>
      <c r="N202" s="85">
        <f t="shared" ca="1" si="48"/>
        <v>-1590.2893487413821</v>
      </c>
      <c r="O202" s="85">
        <f t="shared" ca="1" si="49"/>
        <v>-5898.4203768401567</v>
      </c>
    </row>
    <row r="203" spans="1:15" x14ac:dyDescent="0.35">
      <c r="A203" s="47">
        <v>36</v>
      </c>
      <c r="B203" s="86">
        <v>44078</v>
      </c>
      <c r="C203" s="134">
        <f t="shared" ca="1" si="45"/>
        <v>54.644808743169399</v>
      </c>
      <c r="D203" s="82">
        <f t="shared" ca="1" si="50"/>
        <v>0.45355191256830601</v>
      </c>
      <c r="E203" s="134">
        <f t="shared" ca="1" si="46"/>
        <v>13.66120218579235</v>
      </c>
      <c r="F203" s="82">
        <f t="shared" ca="1" si="39"/>
        <v>0.72677595628415304</v>
      </c>
      <c r="G203" s="134">
        <f t="shared" ca="1" si="47"/>
        <v>10.928961748633879</v>
      </c>
      <c r="H203" s="82">
        <f t="shared" ca="1" si="40"/>
        <v>0.45355191256830601</v>
      </c>
      <c r="I203" s="83">
        <f t="shared" ca="1" si="41"/>
        <v>63155.065842515447</v>
      </c>
      <c r="J203" s="83">
        <f t="shared" ca="1" si="51"/>
        <v>70390.6506614112</v>
      </c>
      <c r="K203" s="84">
        <f t="shared" ca="1" si="42"/>
        <v>-52418.704649287836</v>
      </c>
      <c r="L203" s="84">
        <f t="shared" ca="1" si="43"/>
        <v>-56726.835677386611</v>
      </c>
      <c r="M203" s="83">
        <f t="shared" ca="1" si="44"/>
        <v>50828.415300546454</v>
      </c>
      <c r="N203" s="85">
        <f t="shared" ca="1" si="48"/>
        <v>-1590.2893487413821</v>
      </c>
      <c r="O203" s="85">
        <f t="shared" ca="1" si="49"/>
        <v>-5898.4203768401567</v>
      </c>
    </row>
    <row r="204" spans="1:15" x14ac:dyDescent="0.35">
      <c r="A204" s="47">
        <v>36</v>
      </c>
      <c r="B204" s="86">
        <v>44079</v>
      </c>
      <c r="C204" s="134">
        <f t="shared" ca="1" si="45"/>
        <v>54.644808743169399</v>
      </c>
      <c r="D204" s="82">
        <f t="shared" ca="1" si="50"/>
        <v>0.45355191256830601</v>
      </c>
      <c r="E204" s="134">
        <f t="shared" ca="1" si="46"/>
        <v>13.66120218579235</v>
      </c>
      <c r="F204" s="82">
        <f t="shared" ca="1" si="39"/>
        <v>0.72677595628415304</v>
      </c>
      <c r="G204" s="134">
        <f t="shared" ca="1" si="47"/>
        <v>10.928961748633879</v>
      </c>
      <c r="H204" s="82">
        <f t="shared" ca="1" si="40"/>
        <v>0.45355191256830601</v>
      </c>
      <c r="I204" s="83">
        <f t="shared" ca="1" si="41"/>
        <v>63155.065842515447</v>
      </c>
      <c r="J204" s="83">
        <f t="shared" ca="1" si="51"/>
        <v>70390.6506614112</v>
      </c>
      <c r="K204" s="84">
        <f t="shared" ca="1" si="42"/>
        <v>-52418.704649287836</v>
      </c>
      <c r="L204" s="84">
        <f t="shared" ca="1" si="43"/>
        <v>-56726.835677386611</v>
      </c>
      <c r="M204" s="83">
        <f t="shared" ca="1" si="44"/>
        <v>50828.415300546454</v>
      </c>
      <c r="N204" s="85">
        <f t="shared" ca="1" si="48"/>
        <v>-1590.2893487413821</v>
      </c>
      <c r="O204" s="85">
        <f t="shared" ca="1" si="49"/>
        <v>-5898.4203768401567</v>
      </c>
    </row>
    <row r="205" spans="1:15" x14ac:dyDescent="0.35">
      <c r="A205" s="47">
        <v>36</v>
      </c>
      <c r="B205" s="86">
        <v>44080</v>
      </c>
      <c r="C205" s="134">
        <f t="shared" ca="1" si="45"/>
        <v>54.644808743169399</v>
      </c>
      <c r="D205" s="82">
        <f t="shared" ca="1" si="50"/>
        <v>0.45355191256830601</v>
      </c>
      <c r="E205" s="134">
        <f t="shared" ca="1" si="46"/>
        <v>13.66120218579235</v>
      </c>
      <c r="F205" s="82">
        <f t="shared" ca="1" si="39"/>
        <v>0.72677595628415304</v>
      </c>
      <c r="G205" s="134">
        <f t="shared" ca="1" si="47"/>
        <v>10.928961748633879</v>
      </c>
      <c r="H205" s="82">
        <f t="shared" ca="1" si="40"/>
        <v>0.45355191256830601</v>
      </c>
      <c r="I205" s="83">
        <f t="shared" ca="1" si="41"/>
        <v>63155.065842515447</v>
      </c>
      <c r="J205" s="83">
        <f t="shared" ca="1" si="51"/>
        <v>70390.6506614112</v>
      </c>
      <c r="K205" s="84">
        <f t="shared" ca="1" si="42"/>
        <v>-52418.704649287836</v>
      </c>
      <c r="L205" s="84">
        <f t="shared" ca="1" si="43"/>
        <v>-56726.835677386611</v>
      </c>
      <c r="M205" s="83">
        <f t="shared" ca="1" si="44"/>
        <v>50828.415300546454</v>
      </c>
      <c r="N205" s="85">
        <f t="shared" ca="1" si="48"/>
        <v>-1590.2893487413821</v>
      </c>
      <c r="O205" s="85">
        <f t="shared" ca="1" si="49"/>
        <v>-5898.4203768401567</v>
      </c>
    </row>
    <row r="206" spans="1:15" x14ac:dyDescent="0.35">
      <c r="A206" s="47">
        <v>37</v>
      </c>
      <c r="B206" s="86">
        <v>44081</v>
      </c>
      <c r="C206" s="134">
        <f t="shared" ca="1" si="45"/>
        <v>54.644808743169399</v>
      </c>
      <c r="D206" s="82">
        <f t="shared" ca="1" si="50"/>
        <v>0.45355191256830601</v>
      </c>
      <c r="E206" s="134">
        <f t="shared" ca="1" si="46"/>
        <v>13.66120218579235</v>
      </c>
      <c r="F206" s="82">
        <f t="shared" ca="1" si="39"/>
        <v>0.72677595628415304</v>
      </c>
      <c r="G206" s="134">
        <f t="shared" ca="1" si="47"/>
        <v>10.928961748633879</v>
      </c>
      <c r="H206" s="82">
        <f t="shared" ca="1" si="40"/>
        <v>0.45355191256830601</v>
      </c>
      <c r="I206" s="83">
        <f t="shared" ca="1" si="41"/>
        <v>63155.065842515447</v>
      </c>
      <c r="J206" s="83">
        <f t="shared" ca="1" si="51"/>
        <v>70390.6506614112</v>
      </c>
      <c r="K206" s="84">
        <f t="shared" ca="1" si="42"/>
        <v>-52418.704649287836</v>
      </c>
      <c r="L206" s="84">
        <f t="shared" ca="1" si="43"/>
        <v>-56726.835677386611</v>
      </c>
      <c r="M206" s="83">
        <f t="shared" ca="1" si="44"/>
        <v>50828.415300546454</v>
      </c>
      <c r="N206" s="85">
        <f t="shared" ca="1" si="48"/>
        <v>-1590.2893487413821</v>
      </c>
      <c r="O206" s="85">
        <f t="shared" ca="1" si="49"/>
        <v>-5898.4203768401567</v>
      </c>
    </row>
    <row r="207" spans="1:15" x14ac:dyDescent="0.35">
      <c r="A207" s="47">
        <v>37</v>
      </c>
      <c r="B207" s="86">
        <v>44082</v>
      </c>
      <c r="C207" s="134">
        <f t="shared" ca="1" si="45"/>
        <v>54.644808743169399</v>
      </c>
      <c r="D207" s="82">
        <f t="shared" ca="1" si="50"/>
        <v>0.45355191256830601</v>
      </c>
      <c r="E207" s="134">
        <f t="shared" ca="1" si="46"/>
        <v>13.66120218579235</v>
      </c>
      <c r="F207" s="82">
        <f t="shared" ca="1" si="39"/>
        <v>0.72677595628415304</v>
      </c>
      <c r="G207" s="134">
        <f t="shared" ca="1" si="47"/>
        <v>10.928961748633879</v>
      </c>
      <c r="H207" s="82">
        <f t="shared" ca="1" si="40"/>
        <v>0.45355191256830601</v>
      </c>
      <c r="I207" s="83">
        <f t="shared" ca="1" si="41"/>
        <v>63155.065842515447</v>
      </c>
      <c r="J207" s="83">
        <f t="shared" ca="1" si="51"/>
        <v>70390.6506614112</v>
      </c>
      <c r="K207" s="84">
        <f t="shared" ca="1" si="42"/>
        <v>-52418.704649287836</v>
      </c>
      <c r="L207" s="84">
        <f t="shared" ca="1" si="43"/>
        <v>-56726.835677386611</v>
      </c>
      <c r="M207" s="83">
        <f t="shared" ca="1" si="44"/>
        <v>50828.415300546454</v>
      </c>
      <c r="N207" s="85">
        <f t="shared" ca="1" si="48"/>
        <v>-1590.2893487413821</v>
      </c>
      <c r="O207" s="85">
        <f t="shared" ca="1" si="49"/>
        <v>-5898.4203768401567</v>
      </c>
    </row>
    <row r="208" spans="1:15" x14ac:dyDescent="0.35">
      <c r="A208" s="47">
        <v>37</v>
      </c>
      <c r="B208" s="86">
        <v>44083</v>
      </c>
      <c r="C208" s="134">
        <f t="shared" ca="1" si="45"/>
        <v>54.644808743169399</v>
      </c>
      <c r="D208" s="82">
        <f t="shared" ca="1" si="50"/>
        <v>0.45355191256830601</v>
      </c>
      <c r="E208" s="134">
        <f t="shared" ca="1" si="46"/>
        <v>13.66120218579235</v>
      </c>
      <c r="F208" s="82">
        <f t="shared" ca="1" si="39"/>
        <v>0.72677595628415304</v>
      </c>
      <c r="G208" s="134">
        <f t="shared" ca="1" si="47"/>
        <v>10.928961748633879</v>
      </c>
      <c r="H208" s="82">
        <f t="shared" ca="1" si="40"/>
        <v>0.45355191256830601</v>
      </c>
      <c r="I208" s="83">
        <f t="shared" ca="1" si="41"/>
        <v>63155.065842515447</v>
      </c>
      <c r="J208" s="83">
        <f t="shared" ca="1" si="51"/>
        <v>70390.6506614112</v>
      </c>
      <c r="K208" s="84">
        <f t="shared" ca="1" si="42"/>
        <v>-52418.704649287836</v>
      </c>
      <c r="L208" s="84">
        <f t="shared" ca="1" si="43"/>
        <v>-56726.835677386611</v>
      </c>
      <c r="M208" s="83">
        <f t="shared" ca="1" si="44"/>
        <v>50828.415300546454</v>
      </c>
      <c r="N208" s="85">
        <f t="shared" ca="1" si="48"/>
        <v>-1590.2893487413821</v>
      </c>
      <c r="O208" s="85">
        <f t="shared" ca="1" si="49"/>
        <v>-5898.4203768401567</v>
      </c>
    </row>
    <row r="209" spans="1:15" x14ac:dyDescent="0.35">
      <c r="A209" s="47">
        <v>37</v>
      </c>
      <c r="B209" s="86">
        <v>44084</v>
      </c>
      <c r="C209" s="134">
        <f t="shared" ca="1" si="45"/>
        <v>54.644808743169399</v>
      </c>
      <c r="D209" s="82">
        <f t="shared" ca="1" si="50"/>
        <v>0.45355191256830601</v>
      </c>
      <c r="E209" s="134">
        <f t="shared" ca="1" si="46"/>
        <v>13.66120218579235</v>
      </c>
      <c r="F209" s="82">
        <f t="shared" ca="1" si="39"/>
        <v>0.72677595628415304</v>
      </c>
      <c r="G209" s="134">
        <f t="shared" ca="1" si="47"/>
        <v>10.928961748633879</v>
      </c>
      <c r="H209" s="82">
        <f t="shared" ca="1" si="40"/>
        <v>0.45355191256830601</v>
      </c>
      <c r="I209" s="83">
        <f t="shared" ca="1" si="41"/>
        <v>63155.065842515447</v>
      </c>
      <c r="J209" s="83">
        <f t="shared" ca="1" si="51"/>
        <v>70390.6506614112</v>
      </c>
      <c r="K209" s="84">
        <f t="shared" ca="1" si="42"/>
        <v>-52418.704649287836</v>
      </c>
      <c r="L209" s="84">
        <f t="shared" ca="1" si="43"/>
        <v>-56726.835677386611</v>
      </c>
      <c r="M209" s="83">
        <f t="shared" ca="1" si="44"/>
        <v>50828.415300546454</v>
      </c>
      <c r="N209" s="85">
        <f t="shared" ca="1" si="48"/>
        <v>-1590.2893487413821</v>
      </c>
      <c r="O209" s="85">
        <f t="shared" ca="1" si="49"/>
        <v>-5898.4203768401567</v>
      </c>
    </row>
    <row r="210" spans="1:15" x14ac:dyDescent="0.35">
      <c r="A210" s="47">
        <v>37</v>
      </c>
      <c r="B210" s="86">
        <v>44085</v>
      </c>
      <c r="C210" s="134">
        <f t="shared" ca="1" si="45"/>
        <v>54.644808743169399</v>
      </c>
      <c r="D210" s="82">
        <f t="shared" ca="1" si="50"/>
        <v>0.45355191256830601</v>
      </c>
      <c r="E210" s="134">
        <f t="shared" ca="1" si="46"/>
        <v>13.66120218579235</v>
      </c>
      <c r="F210" s="82">
        <f t="shared" ca="1" si="39"/>
        <v>0.72677595628415304</v>
      </c>
      <c r="G210" s="134">
        <f t="shared" ca="1" si="47"/>
        <v>10.928961748633879</v>
      </c>
      <c r="H210" s="82">
        <f t="shared" ca="1" si="40"/>
        <v>0.45355191256830601</v>
      </c>
      <c r="I210" s="83">
        <f t="shared" ca="1" si="41"/>
        <v>63155.065842515447</v>
      </c>
      <c r="J210" s="83">
        <f t="shared" ca="1" si="51"/>
        <v>70390.6506614112</v>
      </c>
      <c r="K210" s="84">
        <f t="shared" ca="1" si="42"/>
        <v>-52418.704649287836</v>
      </c>
      <c r="L210" s="84">
        <f t="shared" ca="1" si="43"/>
        <v>-56726.835677386611</v>
      </c>
      <c r="M210" s="83">
        <f t="shared" ca="1" si="44"/>
        <v>50828.415300546454</v>
      </c>
      <c r="N210" s="85">
        <f t="shared" ca="1" si="48"/>
        <v>-1590.2893487413821</v>
      </c>
      <c r="O210" s="85">
        <f t="shared" ca="1" si="49"/>
        <v>-5898.4203768401567</v>
      </c>
    </row>
    <row r="211" spans="1:15" x14ac:dyDescent="0.35">
      <c r="A211" s="47">
        <v>37</v>
      </c>
      <c r="B211" s="86">
        <v>44086</v>
      </c>
      <c r="C211" s="134">
        <f t="shared" ca="1" si="45"/>
        <v>54.644808743169399</v>
      </c>
      <c r="D211" s="82">
        <f t="shared" ca="1" si="50"/>
        <v>0.45355191256830601</v>
      </c>
      <c r="E211" s="134">
        <f t="shared" ca="1" si="46"/>
        <v>13.66120218579235</v>
      </c>
      <c r="F211" s="82">
        <f t="shared" ca="1" si="39"/>
        <v>0.72677595628415304</v>
      </c>
      <c r="G211" s="134">
        <f t="shared" ca="1" si="47"/>
        <v>10.928961748633879</v>
      </c>
      <c r="H211" s="82">
        <f t="shared" ca="1" si="40"/>
        <v>0.45355191256830601</v>
      </c>
      <c r="I211" s="83">
        <f t="shared" ca="1" si="41"/>
        <v>63155.065842515447</v>
      </c>
      <c r="J211" s="83">
        <f t="shared" ca="1" si="51"/>
        <v>70390.6506614112</v>
      </c>
      <c r="K211" s="84">
        <f t="shared" ca="1" si="42"/>
        <v>-52418.704649287836</v>
      </c>
      <c r="L211" s="84">
        <f t="shared" ca="1" si="43"/>
        <v>-56726.835677386611</v>
      </c>
      <c r="M211" s="83">
        <f t="shared" ca="1" si="44"/>
        <v>50828.415300546454</v>
      </c>
      <c r="N211" s="85">
        <f t="shared" ca="1" si="48"/>
        <v>-1590.2893487413821</v>
      </c>
      <c r="O211" s="85">
        <f t="shared" ca="1" si="49"/>
        <v>-5898.4203768401567</v>
      </c>
    </row>
    <row r="212" spans="1:15" x14ac:dyDescent="0.35">
      <c r="A212" s="47">
        <v>37</v>
      </c>
      <c r="B212" s="86">
        <v>44087</v>
      </c>
      <c r="C212" s="134">
        <f t="shared" ca="1" si="45"/>
        <v>54.644808743169399</v>
      </c>
      <c r="D212" s="82">
        <f t="shared" ca="1" si="50"/>
        <v>0.45355191256830601</v>
      </c>
      <c r="E212" s="134">
        <f t="shared" ca="1" si="46"/>
        <v>13.66120218579235</v>
      </c>
      <c r="F212" s="82">
        <f t="shared" ca="1" si="39"/>
        <v>0.72677595628415304</v>
      </c>
      <c r="G212" s="134">
        <f t="shared" ca="1" si="47"/>
        <v>10.928961748633879</v>
      </c>
      <c r="H212" s="82">
        <f t="shared" ca="1" si="40"/>
        <v>0.45355191256830601</v>
      </c>
      <c r="I212" s="83">
        <f t="shared" ca="1" si="41"/>
        <v>63155.065842515447</v>
      </c>
      <c r="J212" s="83">
        <f t="shared" ca="1" si="51"/>
        <v>70390.6506614112</v>
      </c>
      <c r="K212" s="84">
        <f t="shared" ca="1" si="42"/>
        <v>-52418.704649287836</v>
      </c>
      <c r="L212" s="84">
        <f t="shared" ca="1" si="43"/>
        <v>-56726.835677386611</v>
      </c>
      <c r="M212" s="83">
        <f t="shared" ca="1" si="44"/>
        <v>50828.415300546454</v>
      </c>
      <c r="N212" s="85">
        <f t="shared" ca="1" si="48"/>
        <v>-1590.2893487413821</v>
      </c>
      <c r="O212" s="85">
        <f t="shared" ca="1" si="49"/>
        <v>-5898.4203768401567</v>
      </c>
    </row>
    <row r="213" spans="1:15" x14ac:dyDescent="0.35">
      <c r="A213" s="47">
        <v>38</v>
      </c>
      <c r="B213" s="86">
        <v>44088</v>
      </c>
      <c r="C213" s="134">
        <f t="shared" ca="1" si="45"/>
        <v>54.644808743169399</v>
      </c>
      <c r="D213" s="82">
        <f t="shared" ca="1" si="50"/>
        <v>0.45355191256830601</v>
      </c>
      <c r="E213" s="134">
        <f t="shared" ca="1" si="46"/>
        <v>13.66120218579235</v>
      </c>
      <c r="F213" s="82">
        <f t="shared" ca="1" si="39"/>
        <v>0.72677595628415304</v>
      </c>
      <c r="G213" s="134">
        <f t="shared" ca="1" si="47"/>
        <v>10.928961748633879</v>
      </c>
      <c r="H213" s="82">
        <f t="shared" ca="1" si="40"/>
        <v>0.45355191256830601</v>
      </c>
      <c r="I213" s="83">
        <f t="shared" ca="1" si="41"/>
        <v>63155.065842515447</v>
      </c>
      <c r="J213" s="83">
        <f t="shared" ca="1" si="51"/>
        <v>70390.6506614112</v>
      </c>
      <c r="K213" s="84">
        <f t="shared" ca="1" si="42"/>
        <v>-52418.704649287836</v>
      </c>
      <c r="L213" s="84">
        <f t="shared" ca="1" si="43"/>
        <v>-56726.835677386611</v>
      </c>
      <c r="M213" s="83">
        <f t="shared" ca="1" si="44"/>
        <v>50828.415300546454</v>
      </c>
      <c r="N213" s="85">
        <f t="shared" ca="1" si="48"/>
        <v>-1590.2893487413821</v>
      </c>
      <c r="O213" s="85">
        <f t="shared" ca="1" si="49"/>
        <v>-5898.4203768401567</v>
      </c>
    </row>
    <row r="214" spans="1:15" x14ac:dyDescent="0.35">
      <c r="A214" s="47">
        <v>38</v>
      </c>
      <c r="B214" s="86">
        <v>44089</v>
      </c>
      <c r="C214" s="134">
        <f t="shared" ref="C214:C229" ca="1" si="52">IF(B214&gt;=TODAY(),($D$5/$I$6),"")</f>
        <v>54.644808743169399</v>
      </c>
      <c r="D214" s="82">
        <f t="shared" ca="1" si="50"/>
        <v>0.45355191256830601</v>
      </c>
      <c r="E214" s="134">
        <f t="shared" ca="1" si="46"/>
        <v>13.66120218579235</v>
      </c>
      <c r="F214" s="82">
        <f t="shared" ca="1" si="39"/>
        <v>0.72677595628415304</v>
      </c>
      <c r="G214" s="134">
        <f t="shared" ca="1" si="47"/>
        <v>10.928961748633879</v>
      </c>
      <c r="H214" s="82">
        <f t="shared" ca="1" si="40"/>
        <v>0.45355191256830601</v>
      </c>
      <c r="I214" s="83">
        <f t="shared" ca="1" si="41"/>
        <v>63155.065842515447</v>
      </c>
      <c r="J214" s="83">
        <f t="shared" ca="1" si="51"/>
        <v>70390.6506614112</v>
      </c>
      <c r="K214" s="84">
        <f t="shared" ca="1" si="42"/>
        <v>-52418.704649287836</v>
      </c>
      <c r="L214" s="84">
        <f t="shared" ca="1" si="43"/>
        <v>-56726.835677386611</v>
      </c>
      <c r="M214" s="83">
        <f t="shared" ca="1" si="44"/>
        <v>50828.415300546454</v>
      </c>
      <c r="N214" s="85">
        <f t="shared" ca="1" si="48"/>
        <v>-1590.2893487413821</v>
      </c>
      <c r="O214" s="85">
        <f t="shared" ca="1" si="49"/>
        <v>-5898.4203768401567</v>
      </c>
    </row>
    <row r="215" spans="1:15" x14ac:dyDescent="0.35">
      <c r="A215" s="47">
        <v>38</v>
      </c>
      <c r="B215" s="86">
        <v>44090</v>
      </c>
      <c r="C215" s="134">
        <f t="shared" ca="1" si="52"/>
        <v>54.644808743169399</v>
      </c>
      <c r="D215" s="82">
        <f t="shared" ca="1" si="50"/>
        <v>0.45355191256830601</v>
      </c>
      <c r="E215" s="134">
        <f t="shared" ca="1" si="46"/>
        <v>13.66120218579235</v>
      </c>
      <c r="F215" s="82">
        <f t="shared" ca="1" si="39"/>
        <v>0.72677595628415304</v>
      </c>
      <c r="G215" s="134">
        <f t="shared" ca="1" si="47"/>
        <v>10.928961748633879</v>
      </c>
      <c r="H215" s="82">
        <f t="shared" ca="1" si="40"/>
        <v>0.45355191256830601</v>
      </c>
      <c r="I215" s="83">
        <f t="shared" ca="1" si="41"/>
        <v>63155.065842515447</v>
      </c>
      <c r="J215" s="83">
        <f t="shared" ca="1" si="51"/>
        <v>70390.6506614112</v>
      </c>
      <c r="K215" s="84">
        <f t="shared" ca="1" si="42"/>
        <v>-52418.704649287836</v>
      </c>
      <c r="L215" s="84">
        <f t="shared" ca="1" si="43"/>
        <v>-56726.835677386611</v>
      </c>
      <c r="M215" s="83">
        <f t="shared" ca="1" si="44"/>
        <v>50828.415300546454</v>
      </c>
      <c r="N215" s="85">
        <f t="shared" ca="1" si="48"/>
        <v>-1590.2893487413821</v>
      </c>
      <c r="O215" s="85">
        <f t="shared" ca="1" si="49"/>
        <v>-5898.4203768401567</v>
      </c>
    </row>
    <row r="216" spans="1:15" x14ac:dyDescent="0.35">
      <c r="A216" s="47">
        <v>38</v>
      </c>
      <c r="B216" s="86">
        <v>44091</v>
      </c>
      <c r="C216" s="134">
        <f t="shared" ca="1" si="52"/>
        <v>54.644808743169399</v>
      </c>
      <c r="D216" s="82">
        <f t="shared" ca="1" si="50"/>
        <v>0.45355191256830601</v>
      </c>
      <c r="E216" s="134">
        <f t="shared" ca="1" si="46"/>
        <v>13.66120218579235</v>
      </c>
      <c r="F216" s="82">
        <f t="shared" ca="1" si="39"/>
        <v>0.72677595628415304</v>
      </c>
      <c r="G216" s="134">
        <f t="shared" ca="1" si="47"/>
        <v>10.928961748633879</v>
      </c>
      <c r="H216" s="82">
        <f t="shared" ca="1" si="40"/>
        <v>0.45355191256830601</v>
      </c>
      <c r="I216" s="83">
        <f t="shared" ca="1" si="41"/>
        <v>63155.065842515447</v>
      </c>
      <c r="J216" s="83">
        <f t="shared" ca="1" si="51"/>
        <v>70390.6506614112</v>
      </c>
      <c r="K216" s="84">
        <f t="shared" ca="1" si="42"/>
        <v>-52418.704649287836</v>
      </c>
      <c r="L216" s="84">
        <f t="shared" ca="1" si="43"/>
        <v>-56726.835677386611</v>
      </c>
      <c r="M216" s="83">
        <f t="shared" ca="1" si="44"/>
        <v>50828.415300546454</v>
      </c>
      <c r="N216" s="85">
        <f t="shared" ref="N216:N229" ca="1" si="53">$M216+$K216</f>
        <v>-1590.2893487413821</v>
      </c>
      <c r="O216" s="85">
        <f t="shared" ref="O216:O229" ca="1" si="54">$M216+$L216</f>
        <v>-5898.4203768401567</v>
      </c>
    </row>
    <row r="217" spans="1:15" x14ac:dyDescent="0.35">
      <c r="A217" s="47">
        <v>38</v>
      </c>
      <c r="B217" s="86">
        <v>44092</v>
      </c>
      <c r="C217" s="134">
        <f t="shared" ca="1" si="52"/>
        <v>54.644808743169399</v>
      </c>
      <c r="D217" s="82">
        <f t="shared" ca="1" si="50"/>
        <v>0.45355191256830601</v>
      </c>
      <c r="E217" s="134">
        <f t="shared" ca="1" si="46"/>
        <v>13.66120218579235</v>
      </c>
      <c r="F217" s="82">
        <f t="shared" ca="1" si="39"/>
        <v>0.72677595628415304</v>
      </c>
      <c r="G217" s="134">
        <f t="shared" ca="1" si="47"/>
        <v>10.928961748633879</v>
      </c>
      <c r="H217" s="82">
        <f t="shared" ca="1" si="40"/>
        <v>0.45355191256830601</v>
      </c>
      <c r="I217" s="83">
        <f t="shared" ca="1" si="41"/>
        <v>63155.065842515447</v>
      </c>
      <c r="J217" s="83">
        <f t="shared" ca="1" si="51"/>
        <v>70390.6506614112</v>
      </c>
      <c r="K217" s="84">
        <f t="shared" ca="1" si="42"/>
        <v>-52418.704649287836</v>
      </c>
      <c r="L217" s="84">
        <f t="shared" ca="1" si="43"/>
        <v>-56726.835677386611</v>
      </c>
      <c r="M217" s="83">
        <f t="shared" ca="1" si="44"/>
        <v>50828.415300546454</v>
      </c>
      <c r="N217" s="85">
        <f t="shared" ca="1" si="53"/>
        <v>-1590.2893487413821</v>
      </c>
      <c r="O217" s="85">
        <f t="shared" ca="1" si="54"/>
        <v>-5898.4203768401567</v>
      </c>
    </row>
    <row r="218" spans="1:15" x14ac:dyDescent="0.35">
      <c r="A218" s="47">
        <v>38</v>
      </c>
      <c r="B218" s="86">
        <v>44093</v>
      </c>
      <c r="C218" s="134">
        <f t="shared" ca="1" si="52"/>
        <v>54.644808743169399</v>
      </c>
      <c r="D218" s="82">
        <f t="shared" ca="1" si="50"/>
        <v>0.45355191256830601</v>
      </c>
      <c r="E218" s="134">
        <f t="shared" ca="1" si="46"/>
        <v>13.66120218579235</v>
      </c>
      <c r="F218" s="82">
        <f t="shared" ca="1" si="39"/>
        <v>0.72677595628415304</v>
      </c>
      <c r="G218" s="134">
        <f t="shared" ca="1" si="47"/>
        <v>10.928961748633879</v>
      </c>
      <c r="H218" s="82">
        <f t="shared" ca="1" si="40"/>
        <v>0.45355191256830601</v>
      </c>
      <c r="I218" s="83">
        <f t="shared" ca="1" si="41"/>
        <v>63155.065842515447</v>
      </c>
      <c r="J218" s="83">
        <f t="shared" ca="1" si="51"/>
        <v>70390.6506614112</v>
      </c>
      <c r="K218" s="84">
        <f t="shared" ca="1" si="42"/>
        <v>-52418.704649287836</v>
      </c>
      <c r="L218" s="84">
        <f t="shared" ca="1" si="43"/>
        <v>-56726.835677386611</v>
      </c>
      <c r="M218" s="83">
        <f t="shared" ca="1" si="44"/>
        <v>50828.415300546454</v>
      </c>
      <c r="N218" s="85">
        <f t="shared" ca="1" si="53"/>
        <v>-1590.2893487413821</v>
      </c>
      <c r="O218" s="85">
        <f t="shared" ca="1" si="54"/>
        <v>-5898.4203768401567</v>
      </c>
    </row>
    <row r="219" spans="1:15" x14ac:dyDescent="0.35">
      <c r="A219" s="47">
        <v>38</v>
      </c>
      <c r="B219" s="86">
        <v>44094</v>
      </c>
      <c r="C219" s="134">
        <f t="shared" ca="1" si="52"/>
        <v>54.644808743169399</v>
      </c>
      <c r="D219" s="82">
        <f t="shared" ca="1" si="50"/>
        <v>0.45355191256830601</v>
      </c>
      <c r="E219" s="134">
        <f t="shared" ca="1" si="46"/>
        <v>13.66120218579235</v>
      </c>
      <c r="F219" s="82">
        <f t="shared" ca="1" si="39"/>
        <v>0.72677595628415304</v>
      </c>
      <c r="G219" s="134">
        <f t="shared" ca="1" si="47"/>
        <v>10.928961748633879</v>
      </c>
      <c r="H219" s="82">
        <f t="shared" ca="1" si="40"/>
        <v>0.45355191256830601</v>
      </c>
      <c r="I219" s="83">
        <f t="shared" ca="1" si="41"/>
        <v>63155.065842515447</v>
      </c>
      <c r="J219" s="83">
        <f t="shared" ca="1" si="51"/>
        <v>70390.6506614112</v>
      </c>
      <c r="K219" s="84">
        <f t="shared" ca="1" si="42"/>
        <v>-52418.704649287836</v>
      </c>
      <c r="L219" s="84">
        <f t="shared" ca="1" si="43"/>
        <v>-56726.835677386611</v>
      </c>
      <c r="M219" s="83">
        <f t="shared" ca="1" si="44"/>
        <v>50828.415300546454</v>
      </c>
      <c r="N219" s="85">
        <f t="shared" ca="1" si="53"/>
        <v>-1590.2893487413821</v>
      </c>
      <c r="O219" s="85">
        <f t="shared" ca="1" si="54"/>
        <v>-5898.4203768401567</v>
      </c>
    </row>
    <row r="220" spans="1:15" x14ac:dyDescent="0.35">
      <c r="A220" s="47">
        <v>39</v>
      </c>
      <c r="B220" s="86">
        <v>44095</v>
      </c>
      <c r="C220" s="134">
        <f t="shared" ca="1" si="52"/>
        <v>54.644808743169399</v>
      </c>
      <c r="D220" s="82">
        <f t="shared" ca="1" si="50"/>
        <v>0.45355191256830601</v>
      </c>
      <c r="E220" s="134">
        <f t="shared" ca="1" si="46"/>
        <v>13.66120218579235</v>
      </c>
      <c r="F220" s="82">
        <f t="shared" ca="1" si="39"/>
        <v>0.72677595628415304</v>
      </c>
      <c r="G220" s="134">
        <f t="shared" ca="1" si="47"/>
        <v>10.928961748633879</v>
      </c>
      <c r="H220" s="82">
        <f t="shared" ca="1" si="40"/>
        <v>0.45355191256830601</v>
      </c>
      <c r="I220" s="83">
        <f t="shared" ca="1" si="41"/>
        <v>63155.065842515447</v>
      </c>
      <c r="J220" s="83">
        <f t="shared" ca="1" si="51"/>
        <v>70390.6506614112</v>
      </c>
      <c r="K220" s="84">
        <f t="shared" ca="1" si="42"/>
        <v>-52418.704649287836</v>
      </c>
      <c r="L220" s="84">
        <f t="shared" ca="1" si="43"/>
        <v>-56726.835677386611</v>
      </c>
      <c r="M220" s="83">
        <f t="shared" ca="1" si="44"/>
        <v>50828.415300546454</v>
      </c>
      <c r="N220" s="85">
        <f t="shared" ca="1" si="53"/>
        <v>-1590.2893487413821</v>
      </c>
      <c r="O220" s="85">
        <f t="shared" ca="1" si="54"/>
        <v>-5898.4203768401567</v>
      </c>
    </row>
    <row r="221" spans="1:15" x14ac:dyDescent="0.35">
      <c r="A221" s="47">
        <v>39</v>
      </c>
      <c r="B221" s="86">
        <v>44096</v>
      </c>
      <c r="C221" s="134">
        <f t="shared" ca="1" si="52"/>
        <v>54.644808743169399</v>
      </c>
      <c r="D221" s="82">
        <f t="shared" ca="1" si="50"/>
        <v>0.45355191256830601</v>
      </c>
      <c r="E221" s="134">
        <f t="shared" ca="1" si="46"/>
        <v>13.66120218579235</v>
      </c>
      <c r="F221" s="82">
        <f t="shared" ca="1" si="39"/>
        <v>0.72677595628415304</v>
      </c>
      <c r="G221" s="134">
        <f t="shared" ca="1" si="47"/>
        <v>10.928961748633879</v>
      </c>
      <c r="H221" s="82">
        <f t="shared" ca="1" si="40"/>
        <v>0.45355191256830601</v>
      </c>
      <c r="I221" s="83">
        <f t="shared" ca="1" si="41"/>
        <v>63155.065842515447</v>
      </c>
      <c r="J221" s="83">
        <f t="shared" ca="1" si="51"/>
        <v>70390.6506614112</v>
      </c>
      <c r="K221" s="84">
        <f t="shared" ca="1" si="42"/>
        <v>-52418.704649287836</v>
      </c>
      <c r="L221" s="84">
        <f t="shared" ca="1" si="43"/>
        <v>-56726.835677386611</v>
      </c>
      <c r="M221" s="83">
        <f t="shared" ca="1" si="44"/>
        <v>50828.415300546454</v>
      </c>
      <c r="N221" s="85">
        <f t="shared" ca="1" si="53"/>
        <v>-1590.2893487413821</v>
      </c>
      <c r="O221" s="85">
        <f t="shared" ca="1" si="54"/>
        <v>-5898.4203768401567</v>
      </c>
    </row>
    <row r="222" spans="1:15" x14ac:dyDescent="0.35">
      <c r="A222" s="47">
        <v>39</v>
      </c>
      <c r="B222" s="86">
        <v>44097</v>
      </c>
      <c r="C222" s="134">
        <f t="shared" ca="1" si="52"/>
        <v>54.644808743169399</v>
      </c>
      <c r="D222" s="82">
        <f t="shared" ca="1" si="50"/>
        <v>0.45355191256830601</v>
      </c>
      <c r="E222" s="134">
        <f t="shared" ca="1" si="46"/>
        <v>13.66120218579235</v>
      </c>
      <c r="F222" s="82">
        <f t="shared" ca="1" si="39"/>
        <v>0.72677595628415304</v>
      </c>
      <c r="G222" s="134">
        <f t="shared" ca="1" si="47"/>
        <v>10.928961748633879</v>
      </c>
      <c r="H222" s="82">
        <f t="shared" ca="1" si="40"/>
        <v>0.45355191256830601</v>
      </c>
      <c r="I222" s="83">
        <f t="shared" ca="1" si="41"/>
        <v>63155.065842515447</v>
      </c>
      <c r="J222" s="83">
        <f t="shared" ca="1" si="51"/>
        <v>70390.6506614112</v>
      </c>
      <c r="K222" s="84">
        <f t="shared" ca="1" si="42"/>
        <v>-52418.704649287836</v>
      </c>
      <c r="L222" s="84">
        <f t="shared" ca="1" si="43"/>
        <v>-56726.835677386611</v>
      </c>
      <c r="M222" s="83">
        <f t="shared" ca="1" si="44"/>
        <v>50828.415300546454</v>
      </c>
      <c r="N222" s="85">
        <f t="shared" ca="1" si="53"/>
        <v>-1590.2893487413821</v>
      </c>
      <c r="O222" s="85">
        <f t="shared" ca="1" si="54"/>
        <v>-5898.4203768401567</v>
      </c>
    </row>
    <row r="223" spans="1:15" x14ac:dyDescent="0.35">
      <c r="A223" s="47">
        <v>39</v>
      </c>
      <c r="B223" s="86">
        <v>44098</v>
      </c>
      <c r="C223" s="134">
        <f t="shared" ca="1" si="52"/>
        <v>54.644808743169399</v>
      </c>
      <c r="D223" s="82">
        <f t="shared" ref="D223:D229" ca="1" si="55">-IFERROR((C223-$D$4)/$D$4,0)</f>
        <v>0.45355191256830601</v>
      </c>
      <c r="E223" s="134">
        <f t="shared" ca="1" si="46"/>
        <v>13.66120218579235</v>
      </c>
      <c r="F223" s="82">
        <f t="shared" ca="1" si="39"/>
        <v>0.72677595628415304</v>
      </c>
      <c r="G223" s="134">
        <f t="shared" ca="1" si="47"/>
        <v>10.928961748633879</v>
      </c>
      <c r="H223" s="82">
        <f t="shared" ca="1" si="40"/>
        <v>0.45355191256830601</v>
      </c>
      <c r="I223" s="83">
        <f t="shared" ca="1" si="41"/>
        <v>63155.065842515447</v>
      </c>
      <c r="J223" s="83">
        <f t="shared" ref="J223:J229" ca="1" si="56">(($D$15+$D$16)*(1-D223)+($D$17*(1-$I$4))+($D$18*(1-F223))+($D$19*(1-H223)))/$I$6</f>
        <v>70390.6506614112</v>
      </c>
      <c r="K223" s="84">
        <f t="shared" ca="1" si="42"/>
        <v>-52418.704649287836</v>
      </c>
      <c r="L223" s="84">
        <f t="shared" ca="1" si="43"/>
        <v>-56726.835677386611</v>
      </c>
      <c r="M223" s="83">
        <f t="shared" ca="1" si="44"/>
        <v>50828.415300546454</v>
      </c>
      <c r="N223" s="85">
        <f t="shared" ca="1" si="53"/>
        <v>-1590.2893487413821</v>
      </c>
      <c r="O223" s="85">
        <f t="shared" ca="1" si="54"/>
        <v>-5898.4203768401567</v>
      </c>
    </row>
    <row r="224" spans="1:15" x14ac:dyDescent="0.35">
      <c r="A224" s="47">
        <v>39</v>
      </c>
      <c r="B224" s="86">
        <v>44099</v>
      </c>
      <c r="C224" s="134">
        <f t="shared" ca="1" si="52"/>
        <v>54.644808743169399</v>
      </c>
      <c r="D224" s="82">
        <f t="shared" ca="1" si="55"/>
        <v>0.45355191256830601</v>
      </c>
      <c r="E224" s="134">
        <f t="shared" ca="1" si="46"/>
        <v>13.66120218579235</v>
      </c>
      <c r="F224" s="82">
        <f t="shared" ref="F224:F229" ca="1" si="57">-IFERROR((E224-$D$6)/$D$6,0)</f>
        <v>0.72677595628415304</v>
      </c>
      <c r="G224" s="134">
        <f t="shared" ca="1" si="47"/>
        <v>10.928961748633879</v>
      </c>
      <c r="H224" s="82">
        <f t="shared" ref="H224:H229" ca="1" si="58">-IFERROR((G224-$D$8)/$D$8,0)</f>
        <v>0.45355191256830601</v>
      </c>
      <c r="I224" s="83">
        <f t="shared" ref="I224:I229" ca="1" si="59">$D$22*(1-$D224)</f>
        <v>63155.065842515447</v>
      </c>
      <c r="J224" s="83">
        <f t="shared" ca="1" si="56"/>
        <v>70390.6506614112</v>
      </c>
      <c r="K224" s="84">
        <f t="shared" ref="K224:K229" ca="1" si="60">$I224-$D$22</f>
        <v>-52418.704649287836</v>
      </c>
      <c r="L224" s="84">
        <f t="shared" ref="L224:L229" ca="1" si="61">$J224-$D$23</f>
        <v>-56726.835677386611</v>
      </c>
      <c r="M224" s="83">
        <f t="shared" ref="M224:M229" ca="1" si="62">(($D$4-C224)+($D$6-E224)+($D$8-G224))*$I$5</f>
        <v>50828.415300546454</v>
      </c>
      <c r="N224" s="85">
        <f t="shared" ca="1" si="53"/>
        <v>-1590.2893487413821</v>
      </c>
      <c r="O224" s="85">
        <f t="shared" ca="1" si="54"/>
        <v>-5898.4203768401567</v>
      </c>
    </row>
    <row r="225" spans="1:15" x14ac:dyDescent="0.35">
      <c r="A225" s="47">
        <v>39</v>
      </c>
      <c r="B225" s="86">
        <v>44100</v>
      </c>
      <c r="C225" s="134">
        <f t="shared" ca="1" si="52"/>
        <v>54.644808743169399</v>
      </c>
      <c r="D225" s="82">
        <f t="shared" ca="1" si="55"/>
        <v>0.45355191256830601</v>
      </c>
      <c r="E225" s="134">
        <f t="shared" ca="1" si="46"/>
        <v>13.66120218579235</v>
      </c>
      <c r="F225" s="82">
        <f t="shared" ca="1" si="57"/>
        <v>0.72677595628415304</v>
      </c>
      <c r="G225" s="134">
        <f t="shared" ca="1" si="47"/>
        <v>10.928961748633879</v>
      </c>
      <c r="H225" s="82">
        <f t="shared" ca="1" si="58"/>
        <v>0.45355191256830601</v>
      </c>
      <c r="I225" s="83">
        <f t="shared" ca="1" si="59"/>
        <v>63155.065842515447</v>
      </c>
      <c r="J225" s="83">
        <f t="shared" ca="1" si="56"/>
        <v>70390.6506614112</v>
      </c>
      <c r="K225" s="84">
        <f t="shared" ca="1" si="60"/>
        <v>-52418.704649287836</v>
      </c>
      <c r="L225" s="84">
        <f t="shared" ca="1" si="61"/>
        <v>-56726.835677386611</v>
      </c>
      <c r="M225" s="83">
        <f t="shared" ca="1" si="62"/>
        <v>50828.415300546454</v>
      </c>
      <c r="N225" s="85">
        <f t="shared" ca="1" si="53"/>
        <v>-1590.2893487413821</v>
      </c>
      <c r="O225" s="85">
        <f t="shared" ca="1" si="54"/>
        <v>-5898.4203768401567</v>
      </c>
    </row>
    <row r="226" spans="1:15" x14ac:dyDescent="0.35">
      <c r="A226" s="47">
        <v>39</v>
      </c>
      <c r="B226" s="86">
        <v>44101</v>
      </c>
      <c r="C226" s="134">
        <f t="shared" ca="1" si="52"/>
        <v>54.644808743169399</v>
      </c>
      <c r="D226" s="82">
        <f t="shared" ca="1" si="55"/>
        <v>0.45355191256830601</v>
      </c>
      <c r="E226" s="134">
        <f t="shared" ca="1" si="46"/>
        <v>13.66120218579235</v>
      </c>
      <c r="F226" s="82">
        <f t="shared" ca="1" si="57"/>
        <v>0.72677595628415304</v>
      </c>
      <c r="G226" s="134">
        <f t="shared" ca="1" si="47"/>
        <v>10.928961748633879</v>
      </c>
      <c r="H226" s="82">
        <f t="shared" ca="1" si="58"/>
        <v>0.45355191256830601</v>
      </c>
      <c r="I226" s="83">
        <f t="shared" ca="1" si="59"/>
        <v>63155.065842515447</v>
      </c>
      <c r="J226" s="83">
        <f t="shared" ca="1" si="56"/>
        <v>70390.6506614112</v>
      </c>
      <c r="K226" s="84">
        <f t="shared" ca="1" si="60"/>
        <v>-52418.704649287836</v>
      </c>
      <c r="L226" s="84">
        <f t="shared" ca="1" si="61"/>
        <v>-56726.835677386611</v>
      </c>
      <c r="M226" s="83">
        <f t="shared" ca="1" si="62"/>
        <v>50828.415300546454</v>
      </c>
      <c r="N226" s="85">
        <f t="shared" ca="1" si="53"/>
        <v>-1590.2893487413821</v>
      </c>
      <c r="O226" s="85">
        <f t="shared" ca="1" si="54"/>
        <v>-5898.4203768401567</v>
      </c>
    </row>
    <row r="227" spans="1:15" x14ac:dyDescent="0.35">
      <c r="A227" s="47">
        <v>40</v>
      </c>
      <c r="B227" s="86">
        <v>44102</v>
      </c>
      <c r="C227" s="134">
        <f t="shared" ca="1" si="52"/>
        <v>54.644808743169399</v>
      </c>
      <c r="D227" s="82">
        <f t="shared" ca="1" si="55"/>
        <v>0.45355191256830601</v>
      </c>
      <c r="E227" s="134">
        <f t="shared" ca="1" si="46"/>
        <v>13.66120218579235</v>
      </c>
      <c r="F227" s="82">
        <f t="shared" ca="1" si="57"/>
        <v>0.72677595628415304</v>
      </c>
      <c r="G227" s="134">
        <f t="shared" ca="1" si="47"/>
        <v>10.928961748633879</v>
      </c>
      <c r="H227" s="82">
        <f t="shared" ca="1" si="58"/>
        <v>0.45355191256830601</v>
      </c>
      <c r="I227" s="83">
        <f t="shared" ca="1" si="59"/>
        <v>63155.065842515447</v>
      </c>
      <c r="J227" s="83">
        <f t="shared" ca="1" si="56"/>
        <v>70390.6506614112</v>
      </c>
      <c r="K227" s="84">
        <f t="shared" ca="1" si="60"/>
        <v>-52418.704649287836</v>
      </c>
      <c r="L227" s="84">
        <f t="shared" ca="1" si="61"/>
        <v>-56726.835677386611</v>
      </c>
      <c r="M227" s="83">
        <f t="shared" ca="1" si="62"/>
        <v>50828.415300546454</v>
      </c>
      <c r="N227" s="85">
        <f t="shared" ca="1" si="53"/>
        <v>-1590.2893487413821</v>
      </c>
      <c r="O227" s="85">
        <f t="shared" ca="1" si="54"/>
        <v>-5898.4203768401567</v>
      </c>
    </row>
    <row r="228" spans="1:15" x14ac:dyDescent="0.35">
      <c r="A228" s="47">
        <v>40</v>
      </c>
      <c r="B228" s="86">
        <v>44103</v>
      </c>
      <c r="C228" s="134">
        <f t="shared" ca="1" si="52"/>
        <v>54.644808743169399</v>
      </c>
      <c r="D228" s="82">
        <f t="shared" ca="1" si="55"/>
        <v>0.45355191256830601</v>
      </c>
      <c r="E228" s="134">
        <f t="shared" ca="1" si="46"/>
        <v>13.66120218579235</v>
      </c>
      <c r="F228" s="82">
        <f t="shared" ca="1" si="57"/>
        <v>0.72677595628415304</v>
      </c>
      <c r="G228" s="134">
        <f t="shared" ca="1" si="47"/>
        <v>10.928961748633879</v>
      </c>
      <c r="H228" s="82">
        <f t="shared" ca="1" si="58"/>
        <v>0.45355191256830601</v>
      </c>
      <c r="I228" s="83">
        <f t="shared" ca="1" si="59"/>
        <v>63155.065842515447</v>
      </c>
      <c r="J228" s="83">
        <f t="shared" ca="1" si="56"/>
        <v>70390.6506614112</v>
      </c>
      <c r="K228" s="84">
        <f t="shared" ca="1" si="60"/>
        <v>-52418.704649287836</v>
      </c>
      <c r="L228" s="84">
        <f t="shared" ca="1" si="61"/>
        <v>-56726.835677386611</v>
      </c>
      <c r="M228" s="83">
        <f t="shared" ca="1" si="62"/>
        <v>50828.415300546454</v>
      </c>
      <c r="N228" s="85">
        <f t="shared" ca="1" si="53"/>
        <v>-1590.2893487413821</v>
      </c>
      <c r="O228" s="85">
        <f t="shared" ca="1" si="54"/>
        <v>-5898.4203768401567</v>
      </c>
    </row>
    <row r="229" spans="1:15" x14ac:dyDescent="0.35">
      <c r="A229" s="47">
        <v>40</v>
      </c>
      <c r="B229" s="86">
        <v>44104</v>
      </c>
      <c r="C229" s="134">
        <f t="shared" ca="1" si="52"/>
        <v>54.644808743169399</v>
      </c>
      <c r="D229" s="82">
        <f t="shared" ca="1" si="55"/>
        <v>0.45355191256830601</v>
      </c>
      <c r="E229" s="134">
        <f t="shared" ca="1" si="46"/>
        <v>13.66120218579235</v>
      </c>
      <c r="F229" s="82">
        <f t="shared" ca="1" si="57"/>
        <v>0.72677595628415304</v>
      </c>
      <c r="G229" s="134">
        <f t="shared" ca="1" si="47"/>
        <v>10.928961748633879</v>
      </c>
      <c r="H229" s="82">
        <f t="shared" ca="1" si="58"/>
        <v>0.45355191256830601</v>
      </c>
      <c r="I229" s="83">
        <f t="shared" ca="1" si="59"/>
        <v>63155.065842515447</v>
      </c>
      <c r="J229" s="83">
        <f t="shared" ca="1" si="56"/>
        <v>70390.6506614112</v>
      </c>
      <c r="K229" s="84">
        <f t="shared" ca="1" si="60"/>
        <v>-52418.704649287836</v>
      </c>
      <c r="L229" s="84">
        <f t="shared" ca="1" si="61"/>
        <v>-56726.835677386611</v>
      </c>
      <c r="M229" s="83">
        <f t="shared" ca="1" si="62"/>
        <v>50828.415300546454</v>
      </c>
      <c r="N229" s="85">
        <f t="shared" ca="1" si="53"/>
        <v>-1590.2893487413821</v>
      </c>
      <c r="O229" s="85">
        <f t="shared" ca="1" si="54"/>
        <v>-5898.4203768401567</v>
      </c>
    </row>
  </sheetData>
  <sheetProtection algorithmName="SHA-512" hashValue="Nem8UBO6Gp3yMgRUgu5Ggy+xuZBQz2bWPGeuthnp2MNoDvo0Hgw0Ac1EAxXHnJBWLpghFUY5nJBXDZkiTV6Kcw==" saltValue="NY/8Ilv57HYUk+aIp7HKzA==" spinCount="100000" sheet="1" objects="1" scenarios="1"/>
  <mergeCells count="28">
    <mergeCell ref="I29:O29"/>
    <mergeCell ref="A29:H29"/>
    <mergeCell ref="F13:H13"/>
    <mergeCell ref="F14:H14"/>
    <mergeCell ref="F20:H20"/>
    <mergeCell ref="F15:H15"/>
    <mergeCell ref="F16:H16"/>
    <mergeCell ref="F17:H17"/>
    <mergeCell ref="F18:H18"/>
    <mergeCell ref="F19:H19"/>
    <mergeCell ref="A25:F25"/>
    <mergeCell ref="A22:C22"/>
    <mergeCell ref="A23:C23"/>
    <mergeCell ref="A17:C17"/>
    <mergeCell ref="A18:C18"/>
    <mergeCell ref="A19:C19"/>
    <mergeCell ref="A20:C20"/>
    <mergeCell ref="A3:C3"/>
    <mergeCell ref="A11:C11"/>
    <mergeCell ref="A12:C12"/>
    <mergeCell ref="A15:C15"/>
    <mergeCell ref="A16:C16"/>
    <mergeCell ref="A4:C4"/>
    <mergeCell ref="A6:C6"/>
    <mergeCell ref="A5:C5"/>
    <mergeCell ref="A7:C7"/>
    <mergeCell ref="A8:C8"/>
    <mergeCell ref="A9:C9"/>
  </mergeCells>
  <conditionalFormatting sqref="D14:D21 A14:A21 A24 D24">
    <cfRule type="expression" dxfId="3" priority="59">
      <formula>$D$12=""</formula>
    </cfRule>
    <cfRule type="expression" dxfId="2" priority="61">
      <formula>$D$12="Erlöse in Casemix-Punkten"</formula>
    </cfRule>
  </conditionalFormatting>
  <conditionalFormatting sqref="F12:G12 F21:G24 F13:F20 I13:I20">
    <cfRule type="expression" dxfId="1" priority="58">
      <formula>$D$12=""</formula>
    </cfRule>
    <cfRule type="expression" dxfId="0" priority="60">
      <formula>$D$12="Erlöse in EUR"</formula>
    </cfRule>
  </conditionalFormatting>
  <dataValidations count="1">
    <dataValidation type="list" allowBlank="1" showInputMessage="1" showErrorMessage="1" sqref="D12" xr:uid="{7F5A61F6-657E-440D-B9A7-68ED9BC37625}">
      <formula1>"Erlöse in EUR, Erlöse in Casemix-Punkten"</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9E5D2D5-8AF8-49E8-8BD7-8CDA36145A2D}">
          <x14:formula1>
            <xm:f>LBFW!$A$3:$A$18</xm:f>
          </x14:formula1>
          <xm:sqref>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4184-CC13-45A9-9988-C3B74FA61F5C}">
  <dimension ref="A1:F38"/>
  <sheetViews>
    <sheetView workbookViewId="0">
      <selection activeCell="B6" sqref="B6"/>
    </sheetView>
  </sheetViews>
  <sheetFormatPr baseColWidth="10" defaultColWidth="10.6640625" defaultRowHeight="14.25" x14ac:dyDescent="0.45"/>
  <cols>
    <col min="1" max="1" width="95.6640625" style="144" customWidth="1"/>
    <col min="2" max="2" width="20.53125" style="144" customWidth="1"/>
    <col min="3" max="3" width="21.53125" style="144" customWidth="1"/>
    <col min="4" max="4" width="21.1328125" style="144" customWidth="1"/>
    <col min="5" max="5" width="53" style="144" customWidth="1"/>
    <col min="6" max="6" width="22.33203125" style="144" customWidth="1"/>
    <col min="7" max="7" width="15.06640625" style="144" bestFit="1" customWidth="1"/>
    <col min="8" max="16384" width="10.6640625" style="144"/>
  </cols>
  <sheetData>
    <row r="1" spans="1:6" ht="15.4" x14ac:dyDescent="0.45">
      <c r="A1" s="149" t="s">
        <v>26</v>
      </c>
      <c r="B1" s="180"/>
      <c r="C1" s="180"/>
      <c r="D1" s="180"/>
      <c r="E1" s="180"/>
    </row>
    <row r="2" spans="1:6" x14ac:dyDescent="0.45">
      <c r="A2" s="117"/>
      <c r="B2" s="117"/>
      <c r="C2" s="117"/>
      <c r="D2" s="117"/>
      <c r="E2" s="117"/>
    </row>
    <row r="3" spans="1:6" x14ac:dyDescent="0.45">
      <c r="A3" s="148" t="s">
        <v>36</v>
      </c>
      <c r="B3" s="131"/>
      <c r="C3" s="132" t="s">
        <v>18</v>
      </c>
      <c r="E3" s="117"/>
    </row>
    <row r="4" spans="1:6" x14ac:dyDescent="0.45">
      <c r="A4" s="174" t="s">
        <v>98</v>
      </c>
      <c r="B4" s="181">
        <v>185</v>
      </c>
      <c r="C4" s="117"/>
      <c r="D4" s="117"/>
      <c r="E4" s="117"/>
    </row>
    <row r="5" spans="1:6" x14ac:dyDescent="0.45">
      <c r="A5" s="174" t="s">
        <v>99</v>
      </c>
      <c r="B5" s="183">
        <v>146.55000000000001</v>
      </c>
      <c r="C5" s="117"/>
      <c r="D5" s="117"/>
      <c r="E5" s="117"/>
    </row>
    <row r="6" spans="1:6" x14ac:dyDescent="0.45">
      <c r="A6" s="174" t="s">
        <v>70</v>
      </c>
      <c r="B6" s="182">
        <v>0.79</v>
      </c>
      <c r="C6" s="179" t="s">
        <v>76</v>
      </c>
      <c r="D6" s="117"/>
      <c r="E6" s="117"/>
    </row>
    <row r="7" spans="1:6" x14ac:dyDescent="0.45">
      <c r="A7" s="142" t="s">
        <v>101</v>
      </c>
      <c r="B7" s="175">
        <f>B10/$C$10*$C$7</f>
        <v>19841.188524590161</v>
      </c>
      <c r="C7" s="171">
        <v>75</v>
      </c>
      <c r="D7" s="172"/>
      <c r="E7" s="117"/>
      <c r="F7" s="176"/>
    </row>
    <row r="8" spans="1:6" x14ac:dyDescent="0.45">
      <c r="A8" s="142" t="s">
        <v>102</v>
      </c>
      <c r="B8" s="175">
        <f>B10/$C$10*$C$8</f>
        <v>4232.7868852459014</v>
      </c>
      <c r="C8" s="171">
        <v>16</v>
      </c>
      <c r="D8" s="172"/>
      <c r="E8" s="173"/>
      <c r="F8" s="177"/>
    </row>
    <row r="9" spans="1:6" x14ac:dyDescent="0.45">
      <c r="A9" s="142" t="s">
        <v>103</v>
      </c>
      <c r="B9" s="175">
        <f>B10/$C$10*$C$9</f>
        <v>72751.024590163928</v>
      </c>
      <c r="C9" s="171">
        <v>275</v>
      </c>
      <c r="D9" s="172"/>
      <c r="E9" s="117"/>
      <c r="F9" s="178"/>
    </row>
    <row r="10" spans="1:6" x14ac:dyDescent="0.45">
      <c r="A10" s="174" t="s">
        <v>80</v>
      </c>
      <c r="B10" s="141">
        <v>96825</v>
      </c>
      <c r="C10" s="171">
        <v>366</v>
      </c>
      <c r="D10" s="172"/>
      <c r="E10" s="173"/>
    </row>
    <row r="11" spans="1:6" x14ac:dyDescent="0.45">
      <c r="A11" s="142" t="s">
        <v>104</v>
      </c>
      <c r="B11" s="143">
        <f>AVERAGE(Ausgleichzahlungen!D31:D46)</f>
        <v>0.46500000000000008</v>
      </c>
      <c r="C11" s="117"/>
      <c r="D11" s="117"/>
      <c r="E11" s="117"/>
    </row>
    <row r="12" spans="1:6" x14ac:dyDescent="0.45">
      <c r="A12" s="142" t="s">
        <v>105</v>
      </c>
      <c r="B12" s="143">
        <f t="array" aca="1" ref="B12" ca="1">AVERAGE(Ausgleichzahlungen!D47:D229,Ausgleichzahlungen!D47:D229)</f>
        <v>0.4212705664546566</v>
      </c>
      <c r="C12" s="117"/>
      <c r="D12" s="117"/>
      <c r="E12" s="117"/>
    </row>
    <row r="13" spans="1:6" ht="14.65" thickBot="1" x14ac:dyDescent="0.5">
      <c r="A13" s="145"/>
      <c r="B13" s="146"/>
      <c r="C13" s="147"/>
      <c r="D13" s="147"/>
      <c r="E13" s="117"/>
    </row>
    <row r="14" spans="1:6" ht="18" customHeight="1" x14ac:dyDescent="0.45">
      <c r="A14" s="148" t="s">
        <v>100</v>
      </c>
      <c r="B14" s="131"/>
      <c r="C14" s="117"/>
      <c r="D14" s="117"/>
    </row>
    <row r="15" spans="1:6" x14ac:dyDescent="0.45">
      <c r="A15" s="117"/>
      <c r="B15" s="117"/>
      <c r="C15" s="117"/>
      <c r="D15" s="117"/>
    </row>
    <row r="16" spans="1:6" ht="15.4" x14ac:dyDescent="0.45">
      <c r="A16" s="149"/>
      <c r="B16" s="243" t="str">
        <f>"Geplante Pflegeentgeltpauschale ohne Minderbelegung "&amp;B5&amp;"€"</f>
        <v>Geplante Pflegeentgeltpauschale ohne Minderbelegung 146,55€</v>
      </c>
      <c r="C16" s="243" t="str">
        <f>"Geplante Pflegeentgeltpauschale mit Minderbelegung "&amp;B5&amp;"€"</f>
        <v>Geplante Pflegeentgeltpauschale mit Minderbelegung 146,55€</v>
      </c>
      <c r="D16" s="245" t="str">
        <f>"COVID-19 Pflegeentgeltpauschale "&amp;B4&amp;"€"</f>
        <v>COVID-19 Pflegeentgeltpauschale 185€</v>
      </c>
      <c r="E16" s="117"/>
    </row>
    <row r="17" spans="1:5" ht="35.25" customHeight="1" x14ac:dyDescent="0.45">
      <c r="A17" s="117"/>
      <c r="B17" s="244"/>
      <c r="C17" s="244"/>
      <c r="D17" s="246"/>
      <c r="E17" s="117"/>
    </row>
    <row r="18" spans="1:5" x14ac:dyDescent="0.45">
      <c r="A18" s="150" t="s">
        <v>106</v>
      </c>
      <c r="B18" s="151">
        <f>B7*B6</f>
        <v>15674.538934426228</v>
      </c>
      <c r="C18" s="247"/>
      <c r="D18" s="248"/>
      <c r="E18" s="117"/>
    </row>
    <row r="19" spans="1:5" x14ac:dyDescent="0.45">
      <c r="A19" s="150" t="s">
        <v>110</v>
      </c>
      <c r="B19" s="152">
        <f>B18/C7</f>
        <v>208.99385245901638</v>
      </c>
      <c r="C19" s="249"/>
      <c r="D19" s="250"/>
      <c r="E19" s="117"/>
    </row>
    <row r="20" spans="1:5" x14ac:dyDescent="0.45">
      <c r="A20" s="150" t="s">
        <v>88</v>
      </c>
      <c r="B20" s="153">
        <f>$B$5</f>
        <v>146.55000000000001</v>
      </c>
      <c r="C20" s="249"/>
      <c r="D20" s="250"/>
      <c r="E20" s="117"/>
    </row>
    <row r="21" spans="1:5" x14ac:dyDescent="0.45">
      <c r="A21" s="154" t="s">
        <v>107</v>
      </c>
      <c r="B21" s="155">
        <f>B19*B20</f>
        <v>30628.049077868855</v>
      </c>
      <c r="C21" s="249"/>
      <c r="D21" s="250"/>
      <c r="E21" s="117"/>
    </row>
    <row r="22" spans="1:5" x14ac:dyDescent="0.45">
      <c r="A22" s="156" t="s">
        <v>119</v>
      </c>
      <c r="B22" s="157">
        <f>B18*B20</f>
        <v>2297103.680840164</v>
      </c>
      <c r="C22" s="251"/>
      <c r="D22" s="250"/>
      <c r="E22" s="117"/>
    </row>
    <row r="23" spans="1:5" x14ac:dyDescent="0.45">
      <c r="A23" s="150" t="s">
        <v>147</v>
      </c>
      <c r="B23" s="158">
        <v>0</v>
      </c>
      <c r="C23" s="158">
        <f>B11</f>
        <v>0.46500000000000008</v>
      </c>
      <c r="D23" s="252"/>
      <c r="E23" s="117"/>
    </row>
    <row r="24" spans="1:5" x14ac:dyDescent="0.45">
      <c r="A24" s="150" t="s">
        <v>148</v>
      </c>
      <c r="B24" s="151">
        <f>B6*B8</f>
        <v>3343.9016393442621</v>
      </c>
      <c r="C24" s="151">
        <f>B8*B6*(1-B11)</f>
        <v>1788.9873770491799</v>
      </c>
      <c r="D24" s="253"/>
      <c r="E24" s="117"/>
    </row>
    <row r="25" spans="1:5" x14ac:dyDescent="0.45">
      <c r="A25" s="150" t="s">
        <v>110</v>
      </c>
      <c r="B25" s="152">
        <f>B24/C8</f>
        <v>208.99385245901638</v>
      </c>
      <c r="C25" s="152">
        <f>C24/C8</f>
        <v>111.81171106557375</v>
      </c>
      <c r="D25" s="253"/>
      <c r="E25" s="117"/>
    </row>
    <row r="26" spans="1:5" x14ac:dyDescent="0.45">
      <c r="A26" s="150" t="s">
        <v>88</v>
      </c>
      <c r="B26" s="153">
        <f>B5</f>
        <v>146.55000000000001</v>
      </c>
      <c r="C26" s="153">
        <f>B5</f>
        <v>146.55000000000001</v>
      </c>
      <c r="D26" s="253"/>
      <c r="E26" s="117"/>
    </row>
    <row r="27" spans="1:5" x14ac:dyDescent="0.45">
      <c r="A27" s="154" t="s">
        <v>108</v>
      </c>
      <c r="B27" s="155">
        <f>B25*B26</f>
        <v>30628.049077868855</v>
      </c>
      <c r="C27" s="155">
        <f>C25*C26</f>
        <v>16386.006256659835</v>
      </c>
      <c r="D27" s="253"/>
      <c r="E27" s="117"/>
    </row>
    <row r="28" spans="1:5" x14ac:dyDescent="0.45">
      <c r="A28" s="156" t="s">
        <v>120</v>
      </c>
      <c r="B28" s="157">
        <f>B26*B24</f>
        <v>490048.78524590167</v>
      </c>
      <c r="C28" s="157">
        <f>C24*C26</f>
        <v>262176.10010655737</v>
      </c>
      <c r="D28" s="254"/>
      <c r="E28" s="117"/>
    </row>
    <row r="29" spans="1:5" x14ac:dyDescent="0.45">
      <c r="A29" s="150" t="s">
        <v>147</v>
      </c>
      <c r="B29" s="158">
        <v>0</v>
      </c>
      <c r="C29" s="255"/>
      <c r="D29" s="159">
        <f ca="1">B12</f>
        <v>0.4212705664546566</v>
      </c>
      <c r="E29" s="117"/>
    </row>
    <row r="30" spans="1:5" x14ac:dyDescent="0.45">
      <c r="A30" s="150" t="s">
        <v>149</v>
      </c>
      <c r="B30" s="151">
        <f>B6*B9</f>
        <v>57473.309426229505</v>
      </c>
      <c r="C30" s="256"/>
      <c r="D30" s="160">
        <f ca="1">B6*B9*(1-B12)</f>
        <v>33261.495808218053</v>
      </c>
      <c r="E30" s="117"/>
    </row>
    <row r="31" spans="1:5" x14ac:dyDescent="0.45">
      <c r="A31" s="150" t="s">
        <v>110</v>
      </c>
      <c r="B31" s="152">
        <f>B30/C9</f>
        <v>208.99385245901638</v>
      </c>
      <c r="C31" s="256"/>
      <c r="D31" s="161">
        <f ca="1">D30/C9</f>
        <v>120.95089384806565</v>
      </c>
      <c r="E31" s="117"/>
    </row>
    <row r="32" spans="1:5" x14ac:dyDescent="0.45">
      <c r="A32" s="150" t="s">
        <v>75</v>
      </c>
      <c r="B32" s="153">
        <f>B5</f>
        <v>146.55000000000001</v>
      </c>
      <c r="C32" s="256"/>
      <c r="D32" s="162">
        <f>B4</f>
        <v>185</v>
      </c>
      <c r="E32" s="117"/>
    </row>
    <row r="33" spans="1:6" x14ac:dyDescent="0.45">
      <c r="A33" s="154" t="s">
        <v>109</v>
      </c>
      <c r="B33" s="155">
        <f>B31*B32</f>
        <v>30628.049077868855</v>
      </c>
      <c r="C33" s="256"/>
      <c r="D33" s="163">
        <f ca="1">D31*D32</f>
        <v>22375.915361892145</v>
      </c>
      <c r="E33" s="117"/>
    </row>
    <row r="34" spans="1:6" x14ac:dyDescent="0.45">
      <c r="A34" s="156" t="s">
        <v>121</v>
      </c>
      <c r="B34" s="157">
        <f>B32*B30</f>
        <v>8422713.496413935</v>
      </c>
      <c r="C34" s="256"/>
      <c r="D34" s="164">
        <f ca="1">D30*D32</f>
        <v>6153376.7245203396</v>
      </c>
      <c r="E34" s="117"/>
    </row>
    <row r="35" spans="1:6" ht="22.5" customHeight="1" x14ac:dyDescent="0.45">
      <c r="A35" s="165" t="s">
        <v>150</v>
      </c>
      <c r="B35" s="166">
        <f>B22+B28+B34</f>
        <v>11209865.9625</v>
      </c>
      <c r="C35" s="257"/>
      <c r="D35" s="167">
        <f ca="1">B22+C28+D34</f>
        <v>8712656.505467061</v>
      </c>
      <c r="E35" s="117"/>
    </row>
    <row r="36" spans="1:6" ht="23.25" x14ac:dyDescent="0.45">
      <c r="A36" s="168" t="s">
        <v>152</v>
      </c>
      <c r="B36" s="240">
        <f ca="1">D35-B35</f>
        <v>-2497209.4570329394</v>
      </c>
      <c r="C36" s="241"/>
      <c r="D36" s="242"/>
      <c r="E36" s="169"/>
    </row>
    <row r="37" spans="1:6" ht="23.25" x14ac:dyDescent="0.45">
      <c r="A37" s="168" t="s">
        <v>151</v>
      </c>
      <c r="B37" s="240">
        <f ca="1">D33-B33</f>
        <v>-8252.1337159767099</v>
      </c>
      <c r="C37" s="241"/>
      <c r="D37" s="242"/>
      <c r="E37" s="170"/>
      <c r="F37" s="169"/>
    </row>
    <row r="38" spans="1:6" x14ac:dyDescent="0.45">
      <c r="A38" s="117"/>
    </row>
  </sheetData>
  <sheetProtection algorithmName="SHA-512" hashValue="lBQjFfO5FX3Aqx7JImtm0nTzA53Ul6oj4lkBq/q9QLl3J0fuXPYvrtWRQZJwCnKqUhetJiF+4ewhDrwpjeV1pA==" saltValue="NSNvIJfpwO02o7hK/8qCDw==" spinCount="100000" sheet="1" objects="1" scenarios="1"/>
  <mergeCells count="8">
    <mergeCell ref="B36:D36"/>
    <mergeCell ref="B37:D37"/>
    <mergeCell ref="B16:B17"/>
    <mergeCell ref="C16:C17"/>
    <mergeCell ref="D16:D17"/>
    <mergeCell ref="C18:D22"/>
    <mergeCell ref="D23:D28"/>
    <mergeCell ref="C29:C3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7BF80-F873-4D18-917B-EF4E5D97D55A}">
  <dimension ref="A1:F47"/>
  <sheetViews>
    <sheetView workbookViewId="0">
      <selection sqref="A1:XFD1048576"/>
    </sheetView>
  </sheetViews>
  <sheetFormatPr baseColWidth="10" defaultColWidth="10.6640625" defaultRowHeight="14.25" x14ac:dyDescent="0.45"/>
  <cols>
    <col min="1" max="1" width="99" style="8" customWidth="1"/>
    <col min="2" max="2" width="20.53125" style="8" customWidth="1"/>
    <col min="3" max="3" width="21.53125" style="8" customWidth="1"/>
    <col min="4" max="4" width="9.86328125" style="8" customWidth="1"/>
    <col min="5" max="5" width="53" style="8" customWidth="1"/>
    <col min="6" max="6" width="22.33203125" style="8" customWidth="1"/>
    <col min="7" max="16384" width="10.6640625" style="8"/>
  </cols>
  <sheetData>
    <row r="1" spans="1:6" ht="15.4" x14ac:dyDescent="0.45">
      <c r="A1" s="17" t="s">
        <v>26</v>
      </c>
      <c r="B1" s="9"/>
      <c r="C1" s="9"/>
      <c r="D1" s="9"/>
      <c r="E1" s="9"/>
    </row>
    <row r="2" spans="1:6" x14ac:dyDescent="0.45">
      <c r="A2" s="10"/>
      <c r="B2" s="10"/>
      <c r="C2" s="10"/>
      <c r="D2" s="10"/>
      <c r="E2" s="10"/>
    </row>
    <row r="3" spans="1:6" x14ac:dyDescent="0.45">
      <c r="A3" s="6" t="s">
        <v>36</v>
      </c>
      <c r="B3" s="11"/>
      <c r="C3" s="10"/>
      <c r="D3" s="5" t="s">
        <v>18</v>
      </c>
      <c r="E3" s="10"/>
    </row>
    <row r="4" spans="1:6" x14ac:dyDescent="0.45">
      <c r="A4" s="12" t="s">
        <v>27</v>
      </c>
      <c r="B4" s="7">
        <v>185</v>
      </c>
      <c r="C4" s="10"/>
      <c r="D4" s="10"/>
      <c r="E4" s="10"/>
    </row>
    <row r="5" spans="1:6" x14ac:dyDescent="0.45">
      <c r="A5" s="12" t="s">
        <v>75</v>
      </c>
      <c r="B5" s="20">
        <v>146.55000000000001</v>
      </c>
      <c r="C5" s="10"/>
      <c r="D5" s="10"/>
      <c r="E5" s="10"/>
    </row>
    <row r="6" spans="1:6" x14ac:dyDescent="0.45">
      <c r="A6" s="12" t="s">
        <v>70</v>
      </c>
      <c r="B6" s="21" t="e">
        <f>Ausgleichzahlungen!#REF!</f>
        <v>#REF!</v>
      </c>
      <c r="C6" s="22" t="s">
        <v>76</v>
      </c>
      <c r="D6" s="10"/>
      <c r="E6" s="10"/>
    </row>
    <row r="7" spans="1:6" x14ac:dyDescent="0.45">
      <c r="A7" s="19" t="s">
        <v>77</v>
      </c>
      <c r="B7" s="23" t="e">
        <f>B10/366*C7</f>
        <v>#REF!</v>
      </c>
      <c r="C7" s="23">
        <v>76</v>
      </c>
      <c r="D7" s="10"/>
      <c r="E7" s="10"/>
      <c r="F7" s="24"/>
    </row>
    <row r="8" spans="1:6" x14ac:dyDescent="0.45">
      <c r="A8" s="19" t="s">
        <v>78</v>
      </c>
      <c r="B8" s="23" t="e">
        <f>B10/366*C8</f>
        <v>#REF!</v>
      </c>
      <c r="C8" s="23">
        <v>15.999999999999993</v>
      </c>
      <c r="D8" s="10"/>
      <c r="E8" s="10"/>
      <c r="F8" s="24"/>
    </row>
    <row r="9" spans="1:6" x14ac:dyDescent="0.45">
      <c r="A9" s="19" t="s">
        <v>79</v>
      </c>
      <c r="B9" s="23" t="e">
        <f>B10/366*C9</f>
        <v>#REF!</v>
      </c>
      <c r="C9" s="23">
        <v>274</v>
      </c>
      <c r="D9" s="25"/>
      <c r="E9" s="10"/>
      <c r="F9" s="24"/>
    </row>
    <row r="10" spans="1:6" x14ac:dyDescent="0.45">
      <c r="A10" s="12" t="s">
        <v>80</v>
      </c>
      <c r="B10" s="26" t="e">
        <f>Ausgleichzahlungen!#REF!</f>
        <v>#REF!</v>
      </c>
      <c r="C10" s="23">
        <v>366</v>
      </c>
      <c r="D10" s="27"/>
      <c r="E10" s="27"/>
      <c r="F10" s="28"/>
    </row>
    <row r="11" spans="1:6" x14ac:dyDescent="0.45">
      <c r="A11" s="19" t="s">
        <v>81</v>
      </c>
      <c r="B11" s="29">
        <f>AVERAGE(Ausgleichzahlungen!D31:D46)</f>
        <v>0.46500000000000008</v>
      </c>
      <c r="C11" s="10"/>
      <c r="D11" s="10"/>
      <c r="E11" s="10"/>
    </row>
    <row r="12" spans="1:6" x14ac:dyDescent="0.45">
      <c r="A12" s="19" t="s">
        <v>82</v>
      </c>
      <c r="B12" s="29">
        <f t="array" aca="1" ref="B12" ca="1">AVERAGE(IF(Ausgleichzahlungen!D47:D229&gt;0,Ausgleichzahlungen!D47:D229))</f>
        <v>0.45083341322340437</v>
      </c>
      <c r="C12" s="10"/>
      <c r="D12" s="10"/>
      <c r="E12" s="10"/>
    </row>
    <row r="13" spans="1:6" ht="14.65" thickBot="1" x14ac:dyDescent="0.5">
      <c r="A13" s="13"/>
      <c r="B13" s="30"/>
      <c r="C13" s="14"/>
      <c r="D13" s="10"/>
      <c r="E13" s="10"/>
    </row>
    <row r="14" spans="1:6" x14ac:dyDescent="0.45">
      <c r="A14" s="10"/>
      <c r="B14" s="10"/>
      <c r="C14" s="10"/>
      <c r="D14" s="10"/>
    </row>
    <row r="15" spans="1:6" x14ac:dyDescent="0.45">
      <c r="A15" s="6" t="s">
        <v>37</v>
      </c>
      <c r="B15" s="11"/>
      <c r="C15" s="10"/>
      <c r="D15" s="10"/>
    </row>
    <row r="16" spans="1:6" x14ac:dyDescent="0.45">
      <c r="A16" s="10"/>
      <c r="B16" s="10"/>
      <c r="C16" s="10"/>
      <c r="D16" s="10"/>
      <c r="E16" s="10"/>
    </row>
    <row r="17" spans="1:6" ht="18" customHeight="1" x14ac:dyDescent="0.45">
      <c r="A17" s="17" t="s">
        <v>89</v>
      </c>
      <c r="B17" s="258" t="str">
        <f>"Pflegeentgeltpauschale mit
Minderbudget "&amp;B5&amp;"€"</f>
        <v>Pflegeentgeltpauschale mit
Minderbudget 146,55€</v>
      </c>
      <c r="C17" s="260" t="str">
        <f>"Neue Pflegeentgeltpauschale "&amp;B4&amp;"€"</f>
        <v>Neue Pflegeentgeltpauschale 185€</v>
      </c>
      <c r="D17" s="10"/>
    </row>
    <row r="18" spans="1:6" ht="27.75" customHeight="1" x14ac:dyDescent="0.45">
      <c r="A18" s="10"/>
      <c r="B18" s="259"/>
      <c r="C18" s="261"/>
      <c r="D18" s="10"/>
      <c r="E18" s="10"/>
      <c r="F18" s="260" t="str">
        <f>"Pflegeentgeltpauschale
ohne
Minderbelegung "&amp;B5&amp;"€"</f>
        <v>Pflegeentgeltpauschale
ohne
Minderbelegung 146,55€</v>
      </c>
    </row>
    <row r="19" spans="1:6" x14ac:dyDescent="0.45">
      <c r="A19" s="15" t="s">
        <v>83</v>
      </c>
      <c r="B19" s="262" t="e">
        <f>B7*B6</f>
        <v>#REF!</v>
      </c>
      <c r="C19" s="263"/>
      <c r="D19" s="10"/>
      <c r="E19" s="10"/>
      <c r="F19" s="261"/>
    </row>
    <row r="20" spans="1:6" x14ac:dyDescent="0.45">
      <c r="A20" s="15" t="s">
        <v>88</v>
      </c>
      <c r="B20" s="266">
        <f>B5</f>
        <v>146.55000000000001</v>
      </c>
      <c r="C20" s="267"/>
      <c r="D20" s="10"/>
      <c r="E20" s="15" t="s">
        <v>83</v>
      </c>
      <c r="F20" s="36" t="e">
        <f>B7*B6</f>
        <v>#REF!</v>
      </c>
    </row>
    <row r="21" spans="1:6" x14ac:dyDescent="0.45">
      <c r="A21" s="18" t="s">
        <v>84</v>
      </c>
      <c r="B21" s="264" t="e">
        <f>B19*B20</f>
        <v>#REF!</v>
      </c>
      <c r="C21" s="265"/>
      <c r="D21" s="10"/>
      <c r="E21" s="15" t="s">
        <v>88</v>
      </c>
      <c r="F21" s="35">
        <f>B5</f>
        <v>146.55000000000001</v>
      </c>
    </row>
    <row r="22" spans="1:6" x14ac:dyDescent="0.45">
      <c r="A22" s="15" t="str">
        <f>"Summe der Pflegebewertungsrelationen vom 16.03.2020-31.03.2020 unter Abzug der prozentualen Minderbelegung von "&amp;B11*100&amp;"%"</f>
        <v>Summe der Pflegebewertungsrelationen vom 16.03.2020-31.03.2020 unter Abzug der prozentualen Minderbelegung von 46,5%</v>
      </c>
      <c r="B22" s="262" t="e">
        <f>B8*B6*B11</f>
        <v>#REF!</v>
      </c>
      <c r="C22" s="263"/>
      <c r="D22" s="10"/>
      <c r="E22" s="18" t="s">
        <v>84</v>
      </c>
      <c r="F22" s="37" t="e">
        <f>F20*F21</f>
        <v>#REF!</v>
      </c>
    </row>
    <row r="23" spans="1:6" x14ac:dyDescent="0.45">
      <c r="A23" s="15" t="s">
        <v>88</v>
      </c>
      <c r="B23" s="266">
        <f>B5</f>
        <v>146.55000000000001</v>
      </c>
      <c r="C23" s="267"/>
      <c r="D23" s="10"/>
      <c r="E23" s="15" t="str">
        <f>"Summe der Pflegebewertungsrelationen vom 16.03.2020-31.03.2020"</f>
        <v>Summe der Pflegebewertungsrelationen vom 16.03.2020-31.03.2020</v>
      </c>
      <c r="F23" s="36" t="e">
        <f>B6*B8</f>
        <v>#REF!</v>
      </c>
    </row>
    <row r="24" spans="1:6" x14ac:dyDescent="0.45">
      <c r="A24" s="18" t="s">
        <v>85</v>
      </c>
      <c r="B24" s="264" t="e">
        <f>B22*B23</f>
        <v>#REF!</v>
      </c>
      <c r="C24" s="265"/>
      <c r="D24" s="10"/>
      <c r="E24" s="15" t="s">
        <v>88</v>
      </c>
      <c r="F24" s="35">
        <f>B5</f>
        <v>146.55000000000001</v>
      </c>
    </row>
    <row r="25" spans="1:6" x14ac:dyDescent="0.45">
      <c r="A25" s="15" t="str">
        <f ca="1">"Summe der Pflegebewertungsrelationen vom 01.04.2020-31.12.2020 unter Abzug der prozentualen Minderbelegung von "&amp;B12*100&amp;"%"</f>
        <v>Summe der Pflegebewertungsrelationen vom 01.04.2020-31.12.2020 unter Abzug der prozentualen Minderbelegung von 45,0833413223404%</v>
      </c>
      <c r="B25" s="262" t="e">
        <f ca="1">B9*B6*B12</f>
        <v>#REF!</v>
      </c>
      <c r="C25" s="263"/>
      <c r="D25" s="10"/>
      <c r="E25" s="18" t="s">
        <v>85</v>
      </c>
      <c r="F25" s="37" t="e">
        <f>F23*F24</f>
        <v>#REF!</v>
      </c>
    </row>
    <row r="26" spans="1:6" x14ac:dyDescent="0.45">
      <c r="A26" s="15" t="s">
        <v>75</v>
      </c>
      <c r="B26" s="31">
        <f>B5</f>
        <v>146.55000000000001</v>
      </c>
      <c r="C26" s="32">
        <f>B4</f>
        <v>185</v>
      </c>
      <c r="D26" s="10"/>
      <c r="E26" s="15" t="str">
        <f>"Summe der Pflegebewertungsrelationen vom 01.04.2020-31.12.2020"</f>
        <v>Summe der Pflegebewertungsrelationen vom 01.04.2020-31.12.2020</v>
      </c>
      <c r="F26" s="36" t="e">
        <f>B6*B9</f>
        <v>#REF!</v>
      </c>
    </row>
    <row r="27" spans="1:6" x14ac:dyDescent="0.45">
      <c r="A27" s="18" t="s">
        <v>85</v>
      </c>
      <c r="B27" s="33" t="e">
        <f ca="1">B25*B26</f>
        <v>#REF!</v>
      </c>
      <c r="C27" s="3" t="e">
        <f ca="1">B25*C26</f>
        <v>#REF!</v>
      </c>
      <c r="D27" s="10"/>
      <c r="E27" s="15" t="s">
        <v>75</v>
      </c>
      <c r="F27" s="35">
        <f>B5</f>
        <v>146.55000000000001</v>
      </c>
    </row>
    <row r="28" spans="1:6" x14ac:dyDescent="0.45">
      <c r="A28" s="15" t="s">
        <v>94</v>
      </c>
      <c r="B28" s="266" t="e">
        <f>SUM(B21,B24,B27)</f>
        <v>#REF!</v>
      </c>
      <c r="C28" s="267"/>
      <c r="D28" s="10"/>
      <c r="E28" s="18" t="s">
        <v>85</v>
      </c>
      <c r="F28" s="37" t="e">
        <f>F26*F27</f>
        <v>#REF!</v>
      </c>
    </row>
    <row r="29" spans="1:6" x14ac:dyDescent="0.45">
      <c r="A29" s="15" t="s">
        <v>95</v>
      </c>
      <c r="B29" s="266" t="e">
        <f ca="1">SUM(B21+B24+C27)</f>
        <v>#REF!</v>
      </c>
      <c r="C29" s="267"/>
      <c r="D29" s="10"/>
      <c r="E29" s="269" t="s">
        <v>93</v>
      </c>
      <c r="F29" s="268" t="e">
        <f>F22+F25+F28</f>
        <v>#REF!</v>
      </c>
    </row>
    <row r="30" spans="1:6" ht="26.25" customHeight="1" x14ac:dyDescent="0.45">
      <c r="A30" s="4" t="s">
        <v>96</v>
      </c>
      <c r="B30" s="264" t="e">
        <f ca="1">B29-B28</f>
        <v>#REF!</v>
      </c>
      <c r="C30" s="265"/>
      <c r="D30" s="10"/>
      <c r="E30" s="270"/>
      <c r="F30" s="268"/>
    </row>
    <row r="31" spans="1:6" x14ac:dyDescent="0.45">
      <c r="D31" s="10"/>
      <c r="E31" s="269" t="s">
        <v>90</v>
      </c>
      <c r="F31" s="271" t="e">
        <f>F29/C10</f>
        <v>#REF!</v>
      </c>
    </row>
    <row r="32" spans="1:6" x14ac:dyDescent="0.45">
      <c r="A32" s="10"/>
      <c r="E32" s="270"/>
      <c r="F32" s="271"/>
    </row>
    <row r="33" spans="1:5" x14ac:dyDescent="0.45">
      <c r="D33" s="10"/>
    </row>
    <row r="34" spans="1:5" ht="15.4" x14ac:dyDescent="0.45">
      <c r="A34" s="17" t="s">
        <v>91</v>
      </c>
      <c r="B34" s="258" t="str">
        <f>"Pflegeentgeltpauschale
mit Minderbelegung "&amp;B5&amp;"€"</f>
        <v>Pflegeentgeltpauschale
mit Minderbelegung 146,55€</v>
      </c>
      <c r="C34" s="260" t="str">
        <f>"Neue Pflegeentgeltpauschale "&amp;B4&amp;"€"</f>
        <v>Neue Pflegeentgeltpauschale 185€</v>
      </c>
    </row>
    <row r="35" spans="1:5" ht="21.75" customHeight="1" x14ac:dyDescent="0.45">
      <c r="A35" s="10"/>
      <c r="B35" s="259"/>
      <c r="C35" s="261"/>
    </row>
    <row r="36" spans="1:5" x14ac:dyDescent="0.45">
      <c r="A36" s="15" t="s">
        <v>83</v>
      </c>
      <c r="B36" s="262" t="e">
        <f>B6*B7/C7</f>
        <v>#REF!</v>
      </c>
      <c r="C36" s="263"/>
    </row>
    <row r="37" spans="1:5" x14ac:dyDescent="0.45">
      <c r="A37" s="15" t="s">
        <v>88</v>
      </c>
      <c r="B37" s="266">
        <f>B5</f>
        <v>146.55000000000001</v>
      </c>
      <c r="C37" s="267"/>
    </row>
    <row r="38" spans="1:5" x14ac:dyDescent="0.45">
      <c r="A38" s="18" t="s">
        <v>84</v>
      </c>
      <c r="B38" s="264" t="e">
        <f>B36*B37</f>
        <v>#REF!</v>
      </c>
      <c r="C38" s="265"/>
      <c r="D38" s="34"/>
    </row>
    <row r="39" spans="1:5" x14ac:dyDescent="0.45">
      <c r="A39" s="15" t="e">
        <f>"Summe der Pflegebewertungsrelationen vom 16.03.2020-31.03.2020 unter Abzug der prozentualen Minderbelegung von "&amp;B28*100&amp;"%"</f>
        <v>#REF!</v>
      </c>
      <c r="B39" s="262" t="e">
        <f>B6*B8*B11/C8</f>
        <v>#REF!</v>
      </c>
      <c r="C39" s="263"/>
    </row>
    <row r="40" spans="1:5" x14ac:dyDescent="0.45">
      <c r="A40" s="15" t="s">
        <v>88</v>
      </c>
      <c r="B40" s="266">
        <f>B5</f>
        <v>146.55000000000001</v>
      </c>
      <c r="C40" s="267"/>
    </row>
    <row r="41" spans="1:5" x14ac:dyDescent="0.45">
      <c r="A41" s="18" t="s">
        <v>85</v>
      </c>
      <c r="B41" s="264" t="e">
        <f>B39*B40</f>
        <v>#REF!</v>
      </c>
      <c r="C41" s="265"/>
      <c r="D41" s="34"/>
    </row>
    <row r="42" spans="1:5" x14ac:dyDescent="0.45">
      <c r="A42" s="15" t="e">
        <f ca="1">"Summe der Pflegebewertungsrelationen vom 01.04.2020-31.12.2020 unter Abzug der prozentualen Minderbelegung von "&amp;B29*100&amp;"%"</f>
        <v>#REF!</v>
      </c>
      <c r="B42" s="262" t="e">
        <f ca="1">B6*B9*B12/C9</f>
        <v>#REF!</v>
      </c>
      <c r="C42" s="263"/>
      <c r="E42" s="34"/>
    </row>
    <row r="43" spans="1:5" x14ac:dyDescent="0.45">
      <c r="A43" s="15" t="s">
        <v>75</v>
      </c>
      <c r="B43" s="31">
        <f>B5</f>
        <v>146.55000000000001</v>
      </c>
      <c r="C43" s="32">
        <f>B4</f>
        <v>185</v>
      </c>
    </row>
    <row r="44" spans="1:5" x14ac:dyDescent="0.45">
      <c r="A44" s="18" t="s">
        <v>85</v>
      </c>
      <c r="B44" s="33" t="e">
        <f ca="1">B42*B43</f>
        <v>#REF!</v>
      </c>
      <c r="C44" s="3" t="e">
        <f ca="1">B42*C43</f>
        <v>#REF!</v>
      </c>
    </row>
    <row r="45" spans="1:5" x14ac:dyDescent="0.45">
      <c r="A45" s="15" t="s">
        <v>86</v>
      </c>
      <c r="B45" s="266" t="e">
        <f ca="1">B44</f>
        <v>#REF!</v>
      </c>
      <c r="C45" s="267"/>
    </row>
    <row r="46" spans="1:5" x14ac:dyDescent="0.45">
      <c r="A46" s="15" t="s">
        <v>87</v>
      </c>
      <c r="B46" s="266" t="e">
        <f ca="1">C44</f>
        <v>#REF!</v>
      </c>
      <c r="C46" s="267"/>
    </row>
    <row r="47" spans="1:5" ht="23.25" x14ac:dyDescent="0.45">
      <c r="A47" s="4" t="s">
        <v>92</v>
      </c>
      <c r="B47" s="264" t="e">
        <f ca="1">B46-B45</f>
        <v>#REF!</v>
      </c>
      <c r="C47" s="265"/>
    </row>
  </sheetData>
  <mergeCells count="29">
    <mergeCell ref="F29:F30"/>
    <mergeCell ref="E31:E32"/>
    <mergeCell ref="F31:F32"/>
    <mergeCell ref="E29:E30"/>
    <mergeCell ref="F18:F19"/>
    <mergeCell ref="B47:C47"/>
    <mergeCell ref="B34:B35"/>
    <mergeCell ref="C34:C35"/>
    <mergeCell ref="B36:C36"/>
    <mergeCell ref="B37:C37"/>
    <mergeCell ref="B38:C38"/>
    <mergeCell ref="B39:C39"/>
    <mergeCell ref="B40:C40"/>
    <mergeCell ref="B41:C41"/>
    <mergeCell ref="B42:C42"/>
    <mergeCell ref="B45:C45"/>
    <mergeCell ref="B46:C46"/>
    <mergeCell ref="B25:C25"/>
    <mergeCell ref="B28:C28"/>
    <mergeCell ref="B29:C29"/>
    <mergeCell ref="B30:C30"/>
    <mergeCell ref="B20:C20"/>
    <mergeCell ref="B23:C23"/>
    <mergeCell ref="B24:C24"/>
    <mergeCell ref="B17:B18"/>
    <mergeCell ref="C17:C18"/>
    <mergeCell ref="B19:C19"/>
    <mergeCell ref="B21:C21"/>
    <mergeCell ref="B22:C2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2AB6-0847-4A78-B892-78E68FF7EBFC}">
  <sheetPr>
    <tabColor theme="7"/>
  </sheetPr>
  <dimension ref="A1:A291"/>
  <sheetViews>
    <sheetView topLeftCell="A261" workbookViewId="0">
      <selection activeCell="B24" sqref="B24"/>
    </sheetView>
  </sheetViews>
  <sheetFormatPr baseColWidth="10" defaultRowHeight="14.25" x14ac:dyDescent="0.45"/>
  <sheetData>
    <row r="1" spans="1:1" x14ac:dyDescent="0.45">
      <c r="A1" s="16">
        <v>43906</v>
      </c>
    </row>
    <row r="2" spans="1:1" x14ac:dyDescent="0.45">
      <c r="A2" s="16">
        <v>43907</v>
      </c>
    </row>
    <row r="3" spans="1:1" x14ac:dyDescent="0.45">
      <c r="A3" s="16">
        <v>43908</v>
      </c>
    </row>
    <row r="4" spans="1:1" x14ac:dyDescent="0.45">
      <c r="A4" s="16">
        <v>43909</v>
      </c>
    </row>
    <row r="5" spans="1:1" x14ac:dyDescent="0.45">
      <c r="A5" s="16">
        <v>43910</v>
      </c>
    </row>
    <row r="6" spans="1:1" x14ac:dyDescent="0.45">
      <c r="A6" s="16">
        <v>43911</v>
      </c>
    </row>
    <row r="7" spans="1:1" x14ac:dyDescent="0.45">
      <c r="A7" s="16">
        <v>43912</v>
      </c>
    </row>
    <row r="8" spans="1:1" x14ac:dyDescent="0.45">
      <c r="A8" s="16">
        <v>43913</v>
      </c>
    </row>
    <row r="9" spans="1:1" x14ac:dyDescent="0.45">
      <c r="A9" s="16">
        <v>43914</v>
      </c>
    </row>
    <row r="10" spans="1:1" x14ac:dyDescent="0.45">
      <c r="A10" s="16">
        <v>43915</v>
      </c>
    </row>
    <row r="11" spans="1:1" x14ac:dyDescent="0.45">
      <c r="A11" s="16">
        <v>43916</v>
      </c>
    </row>
    <row r="12" spans="1:1" x14ac:dyDescent="0.45">
      <c r="A12" s="16">
        <v>43917</v>
      </c>
    </row>
    <row r="13" spans="1:1" x14ac:dyDescent="0.45">
      <c r="A13" s="16">
        <v>43918</v>
      </c>
    </row>
    <row r="14" spans="1:1" x14ac:dyDescent="0.45">
      <c r="A14" s="16">
        <v>43919</v>
      </c>
    </row>
    <row r="15" spans="1:1" x14ac:dyDescent="0.45">
      <c r="A15" s="16">
        <v>43920</v>
      </c>
    </row>
    <row r="16" spans="1:1" x14ac:dyDescent="0.45">
      <c r="A16" s="16">
        <v>43921</v>
      </c>
    </row>
    <row r="17" spans="1:1" x14ac:dyDescent="0.45">
      <c r="A17" s="16">
        <v>43922</v>
      </c>
    </row>
    <row r="18" spans="1:1" x14ac:dyDescent="0.45">
      <c r="A18" s="16">
        <v>43923</v>
      </c>
    </row>
    <row r="19" spans="1:1" x14ac:dyDescent="0.45">
      <c r="A19" s="16">
        <v>43924</v>
      </c>
    </row>
    <row r="20" spans="1:1" x14ac:dyDescent="0.45">
      <c r="A20" s="16">
        <v>43925</v>
      </c>
    </row>
    <row r="21" spans="1:1" x14ac:dyDescent="0.45">
      <c r="A21" s="16">
        <v>43926</v>
      </c>
    </row>
    <row r="22" spans="1:1" x14ac:dyDescent="0.45">
      <c r="A22" s="16">
        <v>43927</v>
      </c>
    </row>
    <row r="23" spans="1:1" x14ac:dyDescent="0.45">
      <c r="A23" s="16">
        <v>43928</v>
      </c>
    </row>
    <row r="24" spans="1:1" x14ac:dyDescent="0.45">
      <c r="A24" s="16">
        <v>43929</v>
      </c>
    </row>
    <row r="25" spans="1:1" x14ac:dyDescent="0.45">
      <c r="A25" s="16">
        <v>43930</v>
      </c>
    </row>
    <row r="26" spans="1:1" x14ac:dyDescent="0.45">
      <c r="A26" s="16">
        <v>43931</v>
      </c>
    </row>
    <row r="27" spans="1:1" x14ac:dyDescent="0.45">
      <c r="A27" s="16">
        <v>43932</v>
      </c>
    </row>
    <row r="28" spans="1:1" x14ac:dyDescent="0.45">
      <c r="A28" s="16">
        <v>43933</v>
      </c>
    </row>
    <row r="29" spans="1:1" x14ac:dyDescent="0.45">
      <c r="A29" s="16">
        <v>43934</v>
      </c>
    </row>
    <row r="30" spans="1:1" x14ac:dyDescent="0.45">
      <c r="A30" s="16">
        <v>43935</v>
      </c>
    </row>
    <row r="31" spans="1:1" x14ac:dyDescent="0.45">
      <c r="A31" s="16">
        <v>43936</v>
      </c>
    </row>
    <row r="32" spans="1:1" x14ac:dyDescent="0.45">
      <c r="A32" s="16">
        <v>43937</v>
      </c>
    </row>
    <row r="33" spans="1:1" x14ac:dyDescent="0.45">
      <c r="A33" s="16">
        <v>43938</v>
      </c>
    </row>
    <row r="34" spans="1:1" x14ac:dyDescent="0.45">
      <c r="A34" s="16">
        <v>43939</v>
      </c>
    </row>
    <row r="35" spans="1:1" x14ac:dyDescent="0.45">
      <c r="A35" s="16">
        <v>43940</v>
      </c>
    </row>
    <row r="36" spans="1:1" x14ac:dyDescent="0.45">
      <c r="A36" s="16">
        <v>43941</v>
      </c>
    </row>
    <row r="37" spans="1:1" x14ac:dyDescent="0.45">
      <c r="A37" s="16">
        <v>43942</v>
      </c>
    </row>
    <row r="38" spans="1:1" x14ac:dyDescent="0.45">
      <c r="A38" s="16">
        <v>43943</v>
      </c>
    </row>
    <row r="39" spans="1:1" x14ac:dyDescent="0.45">
      <c r="A39" s="16">
        <v>43944</v>
      </c>
    </row>
    <row r="40" spans="1:1" x14ac:dyDescent="0.45">
      <c r="A40" s="16">
        <v>43945</v>
      </c>
    </row>
    <row r="41" spans="1:1" x14ac:dyDescent="0.45">
      <c r="A41" s="16">
        <v>43946</v>
      </c>
    </row>
    <row r="42" spans="1:1" x14ac:dyDescent="0.45">
      <c r="A42" s="16">
        <v>43947</v>
      </c>
    </row>
    <row r="43" spans="1:1" x14ac:dyDescent="0.45">
      <c r="A43" s="16">
        <v>43948</v>
      </c>
    </row>
    <row r="44" spans="1:1" x14ac:dyDescent="0.45">
      <c r="A44" s="16">
        <v>43949</v>
      </c>
    </row>
    <row r="45" spans="1:1" x14ac:dyDescent="0.45">
      <c r="A45" s="16">
        <v>43950</v>
      </c>
    </row>
    <row r="46" spans="1:1" x14ac:dyDescent="0.45">
      <c r="A46" s="16">
        <v>43951</v>
      </c>
    </row>
    <row r="47" spans="1:1" x14ac:dyDescent="0.45">
      <c r="A47" s="16">
        <v>43952</v>
      </c>
    </row>
    <row r="48" spans="1:1" x14ac:dyDescent="0.45">
      <c r="A48" s="16">
        <v>43953</v>
      </c>
    </row>
    <row r="49" spans="1:1" x14ac:dyDescent="0.45">
      <c r="A49" s="16">
        <v>43954</v>
      </c>
    </row>
    <row r="50" spans="1:1" x14ac:dyDescent="0.45">
      <c r="A50" s="16">
        <v>43955</v>
      </c>
    </row>
    <row r="51" spans="1:1" x14ac:dyDescent="0.45">
      <c r="A51" s="16">
        <v>43956</v>
      </c>
    </row>
    <row r="52" spans="1:1" x14ac:dyDescent="0.45">
      <c r="A52" s="16">
        <v>43957</v>
      </c>
    </row>
    <row r="53" spans="1:1" x14ac:dyDescent="0.45">
      <c r="A53" s="16">
        <v>43958</v>
      </c>
    </row>
    <row r="54" spans="1:1" x14ac:dyDescent="0.45">
      <c r="A54" s="16">
        <v>43959</v>
      </c>
    </row>
    <row r="55" spans="1:1" x14ac:dyDescent="0.45">
      <c r="A55" s="16">
        <v>43960</v>
      </c>
    </row>
    <row r="56" spans="1:1" x14ac:dyDescent="0.45">
      <c r="A56" s="16">
        <v>43961</v>
      </c>
    </row>
    <row r="57" spans="1:1" x14ac:dyDescent="0.45">
      <c r="A57" s="16">
        <v>43962</v>
      </c>
    </row>
    <row r="58" spans="1:1" x14ac:dyDescent="0.45">
      <c r="A58" s="16">
        <v>43963</v>
      </c>
    </row>
    <row r="59" spans="1:1" x14ac:dyDescent="0.45">
      <c r="A59" s="16">
        <v>43964</v>
      </c>
    </row>
    <row r="60" spans="1:1" x14ac:dyDescent="0.45">
      <c r="A60" s="16">
        <v>43965</v>
      </c>
    </row>
    <row r="61" spans="1:1" x14ac:dyDescent="0.45">
      <c r="A61" s="16">
        <v>43966</v>
      </c>
    </row>
    <row r="62" spans="1:1" x14ac:dyDescent="0.45">
      <c r="A62" s="16">
        <v>43967</v>
      </c>
    </row>
    <row r="63" spans="1:1" x14ac:dyDescent="0.45">
      <c r="A63" s="16">
        <v>43968</v>
      </c>
    </row>
    <row r="64" spans="1:1" x14ac:dyDescent="0.45">
      <c r="A64" s="16">
        <v>43969</v>
      </c>
    </row>
    <row r="65" spans="1:1" x14ac:dyDescent="0.45">
      <c r="A65" s="16">
        <v>43970</v>
      </c>
    </row>
    <row r="66" spans="1:1" x14ac:dyDescent="0.45">
      <c r="A66" s="16">
        <v>43971</v>
      </c>
    </row>
    <row r="67" spans="1:1" x14ac:dyDescent="0.45">
      <c r="A67" s="16">
        <v>43972</v>
      </c>
    </row>
    <row r="68" spans="1:1" x14ac:dyDescent="0.45">
      <c r="A68" s="16">
        <v>43973</v>
      </c>
    </row>
    <row r="69" spans="1:1" x14ac:dyDescent="0.45">
      <c r="A69" s="16">
        <v>43974</v>
      </c>
    </row>
    <row r="70" spans="1:1" x14ac:dyDescent="0.45">
      <c r="A70" s="16">
        <v>43975</v>
      </c>
    </row>
    <row r="71" spans="1:1" x14ac:dyDescent="0.45">
      <c r="A71" s="16">
        <v>43976</v>
      </c>
    </row>
    <row r="72" spans="1:1" x14ac:dyDescent="0.45">
      <c r="A72" s="16">
        <v>43977</v>
      </c>
    </row>
    <row r="73" spans="1:1" x14ac:dyDescent="0.45">
      <c r="A73" s="16">
        <v>43978</v>
      </c>
    </row>
    <row r="74" spans="1:1" x14ac:dyDescent="0.45">
      <c r="A74" s="16">
        <v>43979</v>
      </c>
    </row>
    <row r="75" spans="1:1" x14ac:dyDescent="0.45">
      <c r="A75" s="16">
        <v>43980</v>
      </c>
    </row>
    <row r="76" spans="1:1" x14ac:dyDescent="0.45">
      <c r="A76" s="16">
        <v>43981</v>
      </c>
    </row>
    <row r="77" spans="1:1" x14ac:dyDescent="0.45">
      <c r="A77" s="16">
        <v>43982</v>
      </c>
    </row>
    <row r="78" spans="1:1" x14ac:dyDescent="0.45">
      <c r="A78" s="16">
        <v>43983</v>
      </c>
    </row>
    <row r="79" spans="1:1" x14ac:dyDescent="0.45">
      <c r="A79" s="16">
        <v>43984</v>
      </c>
    </row>
    <row r="80" spans="1:1" x14ac:dyDescent="0.45">
      <c r="A80" s="16">
        <v>43985</v>
      </c>
    </row>
    <row r="81" spans="1:1" x14ac:dyDescent="0.45">
      <c r="A81" s="16">
        <v>43986</v>
      </c>
    </row>
    <row r="82" spans="1:1" x14ac:dyDescent="0.45">
      <c r="A82" s="16">
        <v>43987</v>
      </c>
    </row>
    <row r="83" spans="1:1" x14ac:dyDescent="0.45">
      <c r="A83" s="16">
        <v>43988</v>
      </c>
    </row>
    <row r="84" spans="1:1" x14ac:dyDescent="0.45">
      <c r="A84" s="16">
        <v>43989</v>
      </c>
    </row>
    <row r="85" spans="1:1" x14ac:dyDescent="0.45">
      <c r="A85" s="16">
        <v>43990</v>
      </c>
    </row>
    <row r="86" spans="1:1" x14ac:dyDescent="0.45">
      <c r="A86" s="16">
        <v>43991</v>
      </c>
    </row>
    <row r="87" spans="1:1" x14ac:dyDescent="0.45">
      <c r="A87" s="16">
        <v>43992</v>
      </c>
    </row>
    <row r="88" spans="1:1" x14ac:dyDescent="0.45">
      <c r="A88" s="16">
        <v>43993</v>
      </c>
    </row>
    <row r="89" spans="1:1" x14ac:dyDescent="0.45">
      <c r="A89" s="16">
        <v>43994</v>
      </c>
    </row>
    <row r="90" spans="1:1" x14ac:dyDescent="0.45">
      <c r="A90" s="16">
        <v>43995</v>
      </c>
    </row>
    <row r="91" spans="1:1" x14ac:dyDescent="0.45">
      <c r="A91" s="16">
        <v>43996</v>
      </c>
    </row>
    <row r="92" spans="1:1" x14ac:dyDescent="0.45">
      <c r="A92" s="16">
        <v>43997</v>
      </c>
    </row>
    <row r="93" spans="1:1" x14ac:dyDescent="0.45">
      <c r="A93" s="16">
        <v>43998</v>
      </c>
    </row>
    <row r="94" spans="1:1" x14ac:dyDescent="0.45">
      <c r="A94" s="16">
        <v>43999</v>
      </c>
    </row>
    <row r="95" spans="1:1" x14ac:dyDescent="0.45">
      <c r="A95" s="16">
        <v>44000</v>
      </c>
    </row>
    <row r="96" spans="1:1" x14ac:dyDescent="0.45">
      <c r="A96" s="16">
        <v>44001</v>
      </c>
    </row>
    <row r="97" spans="1:1" x14ac:dyDescent="0.45">
      <c r="A97" s="16">
        <v>44002</v>
      </c>
    </row>
    <row r="98" spans="1:1" x14ac:dyDescent="0.45">
      <c r="A98" s="16">
        <v>44003</v>
      </c>
    </row>
    <row r="99" spans="1:1" x14ac:dyDescent="0.45">
      <c r="A99" s="16">
        <v>44004</v>
      </c>
    </row>
    <row r="100" spans="1:1" x14ac:dyDescent="0.45">
      <c r="A100" s="16">
        <v>44005</v>
      </c>
    </row>
    <row r="101" spans="1:1" x14ac:dyDescent="0.45">
      <c r="A101" s="16">
        <v>44006</v>
      </c>
    </row>
    <row r="102" spans="1:1" x14ac:dyDescent="0.45">
      <c r="A102" s="16">
        <v>44007</v>
      </c>
    </row>
    <row r="103" spans="1:1" x14ac:dyDescent="0.45">
      <c r="A103" s="16">
        <v>44008</v>
      </c>
    </row>
    <row r="104" spans="1:1" x14ac:dyDescent="0.45">
      <c r="A104" s="16">
        <v>44009</v>
      </c>
    </row>
    <row r="105" spans="1:1" x14ac:dyDescent="0.45">
      <c r="A105" s="16">
        <v>44010</v>
      </c>
    </row>
    <row r="106" spans="1:1" x14ac:dyDescent="0.45">
      <c r="A106" s="16">
        <v>44011</v>
      </c>
    </row>
    <row r="107" spans="1:1" x14ac:dyDescent="0.45">
      <c r="A107" s="16">
        <v>44012</v>
      </c>
    </row>
    <row r="108" spans="1:1" x14ac:dyDescent="0.45">
      <c r="A108" s="16">
        <v>44013</v>
      </c>
    </row>
    <row r="109" spans="1:1" x14ac:dyDescent="0.45">
      <c r="A109" s="16">
        <v>44014</v>
      </c>
    </row>
    <row r="110" spans="1:1" x14ac:dyDescent="0.45">
      <c r="A110" s="16">
        <v>44015</v>
      </c>
    </row>
    <row r="111" spans="1:1" x14ac:dyDescent="0.45">
      <c r="A111" s="16">
        <v>44016</v>
      </c>
    </row>
    <row r="112" spans="1:1" x14ac:dyDescent="0.45">
      <c r="A112" s="16">
        <v>44017</v>
      </c>
    </row>
    <row r="113" spans="1:1" x14ac:dyDescent="0.45">
      <c r="A113" s="16">
        <v>44018</v>
      </c>
    </row>
    <row r="114" spans="1:1" x14ac:dyDescent="0.45">
      <c r="A114" s="16">
        <v>44019</v>
      </c>
    </row>
    <row r="115" spans="1:1" x14ac:dyDescent="0.45">
      <c r="A115" s="16">
        <v>44020</v>
      </c>
    </row>
    <row r="116" spans="1:1" x14ac:dyDescent="0.45">
      <c r="A116" s="16">
        <v>44021</v>
      </c>
    </row>
    <row r="117" spans="1:1" x14ac:dyDescent="0.45">
      <c r="A117" s="16">
        <v>44022</v>
      </c>
    </row>
    <row r="118" spans="1:1" x14ac:dyDescent="0.45">
      <c r="A118" s="16">
        <v>44023</v>
      </c>
    </row>
    <row r="119" spans="1:1" x14ac:dyDescent="0.45">
      <c r="A119" s="16">
        <v>44024</v>
      </c>
    </row>
    <row r="120" spans="1:1" x14ac:dyDescent="0.45">
      <c r="A120" s="16">
        <v>44025</v>
      </c>
    </row>
    <row r="121" spans="1:1" x14ac:dyDescent="0.45">
      <c r="A121" s="16">
        <v>44026</v>
      </c>
    </row>
    <row r="122" spans="1:1" x14ac:dyDescent="0.45">
      <c r="A122" s="16">
        <v>44027</v>
      </c>
    </row>
    <row r="123" spans="1:1" x14ac:dyDescent="0.45">
      <c r="A123" s="16">
        <v>44028</v>
      </c>
    </row>
    <row r="124" spans="1:1" x14ac:dyDescent="0.45">
      <c r="A124" s="16">
        <v>44029</v>
      </c>
    </row>
    <row r="125" spans="1:1" x14ac:dyDescent="0.45">
      <c r="A125" s="16">
        <v>44030</v>
      </c>
    </row>
    <row r="126" spans="1:1" x14ac:dyDescent="0.45">
      <c r="A126" s="16">
        <v>44031</v>
      </c>
    </row>
    <row r="127" spans="1:1" x14ac:dyDescent="0.45">
      <c r="A127" s="16">
        <v>44032</v>
      </c>
    </row>
    <row r="128" spans="1:1" x14ac:dyDescent="0.45">
      <c r="A128" s="16">
        <v>44033</v>
      </c>
    </row>
    <row r="129" spans="1:1" x14ac:dyDescent="0.45">
      <c r="A129" s="16">
        <v>44034</v>
      </c>
    </row>
    <row r="130" spans="1:1" x14ac:dyDescent="0.45">
      <c r="A130" s="16">
        <v>44035</v>
      </c>
    </row>
    <row r="131" spans="1:1" x14ac:dyDescent="0.45">
      <c r="A131" s="16">
        <v>44036</v>
      </c>
    </row>
    <row r="132" spans="1:1" x14ac:dyDescent="0.45">
      <c r="A132" s="16">
        <v>44037</v>
      </c>
    </row>
    <row r="133" spans="1:1" x14ac:dyDescent="0.45">
      <c r="A133" s="16">
        <v>44038</v>
      </c>
    </row>
    <row r="134" spans="1:1" x14ac:dyDescent="0.45">
      <c r="A134" s="16">
        <v>44039</v>
      </c>
    </row>
    <row r="135" spans="1:1" x14ac:dyDescent="0.45">
      <c r="A135" s="16">
        <v>44040</v>
      </c>
    </row>
    <row r="136" spans="1:1" x14ac:dyDescent="0.45">
      <c r="A136" s="16">
        <v>44041</v>
      </c>
    </row>
    <row r="137" spans="1:1" x14ac:dyDescent="0.45">
      <c r="A137" s="16">
        <v>44042</v>
      </c>
    </row>
    <row r="138" spans="1:1" x14ac:dyDescent="0.45">
      <c r="A138" s="16">
        <v>44043</v>
      </c>
    </row>
    <row r="139" spans="1:1" x14ac:dyDescent="0.45">
      <c r="A139" s="16">
        <v>44044</v>
      </c>
    </row>
    <row r="140" spans="1:1" x14ac:dyDescent="0.45">
      <c r="A140" s="16">
        <v>44045</v>
      </c>
    </row>
    <row r="141" spans="1:1" x14ac:dyDescent="0.45">
      <c r="A141" s="16">
        <v>44046</v>
      </c>
    </row>
    <row r="142" spans="1:1" x14ac:dyDescent="0.45">
      <c r="A142" s="16">
        <v>44047</v>
      </c>
    </row>
    <row r="143" spans="1:1" x14ac:dyDescent="0.45">
      <c r="A143" s="16">
        <v>44048</v>
      </c>
    </row>
    <row r="144" spans="1:1" x14ac:dyDescent="0.45">
      <c r="A144" s="16">
        <v>44049</v>
      </c>
    </row>
    <row r="145" spans="1:1" x14ac:dyDescent="0.45">
      <c r="A145" s="16">
        <v>44050</v>
      </c>
    </row>
    <row r="146" spans="1:1" x14ac:dyDescent="0.45">
      <c r="A146" s="16">
        <v>44051</v>
      </c>
    </row>
    <row r="147" spans="1:1" x14ac:dyDescent="0.45">
      <c r="A147" s="16">
        <v>44052</v>
      </c>
    </row>
    <row r="148" spans="1:1" x14ac:dyDescent="0.45">
      <c r="A148" s="16">
        <v>44053</v>
      </c>
    </row>
    <row r="149" spans="1:1" x14ac:dyDescent="0.45">
      <c r="A149" s="16">
        <v>44054</v>
      </c>
    </row>
    <row r="150" spans="1:1" x14ac:dyDescent="0.45">
      <c r="A150" s="16">
        <v>44055</v>
      </c>
    </row>
    <row r="151" spans="1:1" x14ac:dyDescent="0.45">
      <c r="A151" s="16">
        <v>44056</v>
      </c>
    </row>
    <row r="152" spans="1:1" x14ac:dyDescent="0.45">
      <c r="A152" s="16">
        <v>44057</v>
      </c>
    </row>
    <row r="153" spans="1:1" x14ac:dyDescent="0.45">
      <c r="A153" s="16">
        <v>44058</v>
      </c>
    </row>
    <row r="154" spans="1:1" x14ac:dyDescent="0.45">
      <c r="A154" s="16">
        <v>44059</v>
      </c>
    </row>
    <row r="155" spans="1:1" x14ac:dyDescent="0.45">
      <c r="A155" s="16">
        <v>44060</v>
      </c>
    </row>
    <row r="156" spans="1:1" x14ac:dyDescent="0.45">
      <c r="A156" s="16">
        <v>44061</v>
      </c>
    </row>
    <row r="157" spans="1:1" x14ac:dyDescent="0.45">
      <c r="A157" s="16">
        <v>44062</v>
      </c>
    </row>
    <row r="158" spans="1:1" x14ac:dyDescent="0.45">
      <c r="A158" s="16">
        <v>44063</v>
      </c>
    </row>
    <row r="159" spans="1:1" x14ac:dyDescent="0.45">
      <c r="A159" s="16">
        <v>44064</v>
      </c>
    </row>
    <row r="160" spans="1:1" x14ac:dyDescent="0.45">
      <c r="A160" s="16">
        <v>44065</v>
      </c>
    </row>
    <row r="161" spans="1:1" x14ac:dyDescent="0.45">
      <c r="A161" s="16">
        <v>44066</v>
      </c>
    </row>
    <row r="162" spans="1:1" x14ac:dyDescent="0.45">
      <c r="A162" s="16">
        <v>44067</v>
      </c>
    </row>
    <row r="163" spans="1:1" x14ac:dyDescent="0.45">
      <c r="A163" s="16">
        <v>44068</v>
      </c>
    </row>
    <row r="164" spans="1:1" x14ac:dyDescent="0.45">
      <c r="A164" s="16">
        <v>44069</v>
      </c>
    </row>
    <row r="165" spans="1:1" x14ac:dyDescent="0.45">
      <c r="A165" s="16">
        <v>44070</v>
      </c>
    </row>
    <row r="166" spans="1:1" x14ac:dyDescent="0.45">
      <c r="A166" s="16">
        <v>44071</v>
      </c>
    </row>
    <row r="167" spans="1:1" x14ac:dyDescent="0.45">
      <c r="A167" s="16">
        <v>44072</v>
      </c>
    </row>
    <row r="168" spans="1:1" x14ac:dyDescent="0.45">
      <c r="A168" s="16">
        <v>44073</v>
      </c>
    </row>
    <row r="169" spans="1:1" x14ac:dyDescent="0.45">
      <c r="A169" s="16">
        <v>44074</v>
      </c>
    </row>
    <row r="170" spans="1:1" x14ac:dyDescent="0.45">
      <c r="A170" s="16">
        <v>44075</v>
      </c>
    </row>
    <row r="171" spans="1:1" x14ac:dyDescent="0.45">
      <c r="A171" s="16">
        <v>44076</v>
      </c>
    </row>
    <row r="172" spans="1:1" x14ac:dyDescent="0.45">
      <c r="A172" s="16">
        <v>44077</v>
      </c>
    </row>
    <row r="173" spans="1:1" x14ac:dyDescent="0.45">
      <c r="A173" s="16">
        <v>44078</v>
      </c>
    </row>
    <row r="174" spans="1:1" x14ac:dyDescent="0.45">
      <c r="A174" s="16">
        <v>44079</v>
      </c>
    </row>
    <row r="175" spans="1:1" x14ac:dyDescent="0.45">
      <c r="A175" s="16">
        <v>44080</v>
      </c>
    </row>
    <row r="176" spans="1:1" x14ac:dyDescent="0.45">
      <c r="A176" s="16">
        <v>44081</v>
      </c>
    </row>
    <row r="177" spans="1:1" x14ac:dyDescent="0.45">
      <c r="A177" s="16">
        <v>44082</v>
      </c>
    </row>
    <row r="178" spans="1:1" x14ac:dyDescent="0.45">
      <c r="A178" s="16">
        <v>44083</v>
      </c>
    </row>
    <row r="179" spans="1:1" x14ac:dyDescent="0.45">
      <c r="A179" s="16">
        <v>44084</v>
      </c>
    </row>
    <row r="180" spans="1:1" x14ac:dyDescent="0.45">
      <c r="A180" s="16">
        <v>44085</v>
      </c>
    </row>
    <row r="181" spans="1:1" x14ac:dyDescent="0.45">
      <c r="A181" s="16">
        <v>44086</v>
      </c>
    </row>
    <row r="182" spans="1:1" x14ac:dyDescent="0.45">
      <c r="A182" s="16">
        <v>44087</v>
      </c>
    </row>
    <row r="183" spans="1:1" x14ac:dyDescent="0.45">
      <c r="A183" s="16">
        <v>44088</v>
      </c>
    </row>
    <row r="184" spans="1:1" x14ac:dyDescent="0.45">
      <c r="A184" s="16">
        <v>44089</v>
      </c>
    </row>
    <row r="185" spans="1:1" x14ac:dyDescent="0.45">
      <c r="A185" s="16">
        <v>44090</v>
      </c>
    </row>
    <row r="186" spans="1:1" x14ac:dyDescent="0.45">
      <c r="A186" s="16">
        <v>44091</v>
      </c>
    </row>
    <row r="187" spans="1:1" x14ac:dyDescent="0.45">
      <c r="A187" s="16">
        <v>44092</v>
      </c>
    </row>
    <row r="188" spans="1:1" x14ac:dyDescent="0.45">
      <c r="A188" s="16">
        <v>44093</v>
      </c>
    </row>
    <row r="189" spans="1:1" x14ac:dyDescent="0.45">
      <c r="A189" s="16">
        <v>44094</v>
      </c>
    </row>
    <row r="190" spans="1:1" x14ac:dyDescent="0.45">
      <c r="A190" s="16">
        <v>44095</v>
      </c>
    </row>
    <row r="191" spans="1:1" x14ac:dyDescent="0.45">
      <c r="A191" s="16">
        <v>44096</v>
      </c>
    </row>
    <row r="192" spans="1:1" x14ac:dyDescent="0.45">
      <c r="A192" s="16">
        <v>44097</v>
      </c>
    </row>
    <row r="193" spans="1:1" x14ac:dyDescent="0.45">
      <c r="A193" s="16">
        <v>44098</v>
      </c>
    </row>
    <row r="194" spans="1:1" x14ac:dyDescent="0.45">
      <c r="A194" s="16">
        <v>44099</v>
      </c>
    </row>
    <row r="195" spans="1:1" x14ac:dyDescent="0.45">
      <c r="A195" s="16">
        <v>44100</v>
      </c>
    </row>
    <row r="196" spans="1:1" x14ac:dyDescent="0.45">
      <c r="A196" s="16">
        <v>44101</v>
      </c>
    </row>
    <row r="197" spans="1:1" x14ac:dyDescent="0.45">
      <c r="A197" s="16">
        <v>44102</v>
      </c>
    </row>
    <row r="198" spans="1:1" x14ac:dyDescent="0.45">
      <c r="A198" s="16">
        <v>44103</v>
      </c>
    </row>
    <row r="199" spans="1:1" x14ac:dyDescent="0.45">
      <c r="A199" s="16">
        <v>44104</v>
      </c>
    </row>
    <row r="200" spans="1:1" x14ac:dyDescent="0.45">
      <c r="A200" s="16">
        <v>44105</v>
      </c>
    </row>
    <row r="201" spans="1:1" x14ac:dyDescent="0.45">
      <c r="A201" s="16">
        <v>44106</v>
      </c>
    </row>
    <row r="202" spans="1:1" x14ac:dyDescent="0.45">
      <c r="A202" s="16">
        <v>44107</v>
      </c>
    </row>
    <row r="203" spans="1:1" x14ac:dyDescent="0.45">
      <c r="A203" s="16">
        <v>44108</v>
      </c>
    </row>
    <row r="204" spans="1:1" x14ac:dyDescent="0.45">
      <c r="A204" s="16">
        <v>44109</v>
      </c>
    </row>
    <row r="205" spans="1:1" x14ac:dyDescent="0.45">
      <c r="A205" s="16">
        <v>44110</v>
      </c>
    </row>
    <row r="206" spans="1:1" x14ac:dyDescent="0.45">
      <c r="A206" s="16">
        <v>44111</v>
      </c>
    </row>
    <row r="207" spans="1:1" x14ac:dyDescent="0.45">
      <c r="A207" s="16">
        <v>44112</v>
      </c>
    </row>
    <row r="208" spans="1:1" x14ac:dyDescent="0.45">
      <c r="A208" s="16">
        <v>44113</v>
      </c>
    </row>
    <row r="209" spans="1:1" x14ac:dyDescent="0.45">
      <c r="A209" s="16">
        <v>44114</v>
      </c>
    </row>
    <row r="210" spans="1:1" x14ac:dyDescent="0.45">
      <c r="A210" s="16">
        <v>44115</v>
      </c>
    </row>
    <row r="211" spans="1:1" x14ac:dyDescent="0.45">
      <c r="A211" s="16">
        <v>44116</v>
      </c>
    </row>
    <row r="212" spans="1:1" x14ac:dyDescent="0.45">
      <c r="A212" s="16">
        <v>44117</v>
      </c>
    </row>
    <row r="213" spans="1:1" x14ac:dyDescent="0.45">
      <c r="A213" s="16">
        <v>44118</v>
      </c>
    </row>
    <row r="214" spans="1:1" x14ac:dyDescent="0.45">
      <c r="A214" s="16">
        <v>44119</v>
      </c>
    </row>
    <row r="215" spans="1:1" x14ac:dyDescent="0.45">
      <c r="A215" s="16">
        <v>44120</v>
      </c>
    </row>
    <row r="216" spans="1:1" x14ac:dyDescent="0.45">
      <c r="A216" s="16">
        <v>44121</v>
      </c>
    </row>
    <row r="217" spans="1:1" x14ac:dyDescent="0.45">
      <c r="A217" s="16">
        <v>44122</v>
      </c>
    </row>
    <row r="218" spans="1:1" x14ac:dyDescent="0.45">
      <c r="A218" s="16">
        <v>44123</v>
      </c>
    </row>
    <row r="219" spans="1:1" x14ac:dyDescent="0.45">
      <c r="A219" s="16">
        <v>44124</v>
      </c>
    </row>
    <row r="220" spans="1:1" x14ac:dyDescent="0.45">
      <c r="A220" s="16">
        <v>44125</v>
      </c>
    </row>
    <row r="221" spans="1:1" x14ac:dyDescent="0.45">
      <c r="A221" s="16">
        <v>44126</v>
      </c>
    </row>
    <row r="222" spans="1:1" x14ac:dyDescent="0.45">
      <c r="A222" s="16">
        <v>44127</v>
      </c>
    </row>
    <row r="223" spans="1:1" x14ac:dyDescent="0.45">
      <c r="A223" s="16">
        <v>44128</v>
      </c>
    </row>
    <row r="224" spans="1:1" x14ac:dyDescent="0.45">
      <c r="A224" s="16">
        <v>44129</v>
      </c>
    </row>
    <row r="225" spans="1:1" x14ac:dyDescent="0.45">
      <c r="A225" s="16">
        <v>44130</v>
      </c>
    </row>
    <row r="226" spans="1:1" x14ac:dyDescent="0.45">
      <c r="A226" s="16">
        <v>44131</v>
      </c>
    </row>
    <row r="227" spans="1:1" x14ac:dyDescent="0.45">
      <c r="A227" s="16">
        <v>44132</v>
      </c>
    </row>
    <row r="228" spans="1:1" x14ac:dyDescent="0.45">
      <c r="A228" s="16">
        <v>44133</v>
      </c>
    </row>
    <row r="229" spans="1:1" x14ac:dyDescent="0.45">
      <c r="A229" s="16">
        <v>44134</v>
      </c>
    </row>
    <row r="230" spans="1:1" x14ac:dyDescent="0.45">
      <c r="A230" s="16">
        <v>44135</v>
      </c>
    </row>
    <row r="231" spans="1:1" x14ac:dyDescent="0.45">
      <c r="A231" s="16">
        <v>44136</v>
      </c>
    </row>
    <row r="232" spans="1:1" x14ac:dyDescent="0.45">
      <c r="A232" s="16">
        <v>44137</v>
      </c>
    </row>
    <row r="233" spans="1:1" x14ac:dyDescent="0.45">
      <c r="A233" s="16">
        <v>44138</v>
      </c>
    </row>
    <row r="234" spans="1:1" x14ac:dyDescent="0.45">
      <c r="A234" s="16">
        <v>44139</v>
      </c>
    </row>
    <row r="235" spans="1:1" x14ac:dyDescent="0.45">
      <c r="A235" s="16">
        <v>44140</v>
      </c>
    </row>
    <row r="236" spans="1:1" x14ac:dyDescent="0.45">
      <c r="A236" s="16">
        <v>44141</v>
      </c>
    </row>
    <row r="237" spans="1:1" x14ac:dyDescent="0.45">
      <c r="A237" s="16">
        <v>44142</v>
      </c>
    </row>
    <row r="238" spans="1:1" x14ac:dyDescent="0.45">
      <c r="A238" s="16">
        <v>44143</v>
      </c>
    </row>
    <row r="239" spans="1:1" x14ac:dyDescent="0.45">
      <c r="A239" s="16">
        <v>44144</v>
      </c>
    </row>
    <row r="240" spans="1:1" x14ac:dyDescent="0.45">
      <c r="A240" s="16">
        <v>44145</v>
      </c>
    </row>
    <row r="241" spans="1:1" x14ac:dyDescent="0.45">
      <c r="A241" s="16">
        <v>44146</v>
      </c>
    </row>
    <row r="242" spans="1:1" x14ac:dyDescent="0.45">
      <c r="A242" s="16">
        <v>44147</v>
      </c>
    </row>
    <row r="243" spans="1:1" x14ac:dyDescent="0.45">
      <c r="A243" s="16">
        <v>44148</v>
      </c>
    </row>
    <row r="244" spans="1:1" x14ac:dyDescent="0.45">
      <c r="A244" s="16">
        <v>44149</v>
      </c>
    </row>
    <row r="245" spans="1:1" x14ac:dyDescent="0.45">
      <c r="A245" s="16">
        <v>44150</v>
      </c>
    </row>
    <row r="246" spans="1:1" x14ac:dyDescent="0.45">
      <c r="A246" s="16">
        <v>44151</v>
      </c>
    </row>
    <row r="247" spans="1:1" x14ac:dyDescent="0.45">
      <c r="A247" s="16">
        <v>44152</v>
      </c>
    </row>
    <row r="248" spans="1:1" x14ac:dyDescent="0.45">
      <c r="A248" s="16">
        <v>44153</v>
      </c>
    </row>
    <row r="249" spans="1:1" x14ac:dyDescent="0.45">
      <c r="A249" s="16">
        <v>44154</v>
      </c>
    </row>
    <row r="250" spans="1:1" x14ac:dyDescent="0.45">
      <c r="A250" s="16">
        <v>44155</v>
      </c>
    </row>
    <row r="251" spans="1:1" x14ac:dyDescent="0.45">
      <c r="A251" s="16">
        <v>44156</v>
      </c>
    </row>
    <row r="252" spans="1:1" x14ac:dyDescent="0.45">
      <c r="A252" s="16">
        <v>44157</v>
      </c>
    </row>
    <row r="253" spans="1:1" x14ac:dyDescent="0.45">
      <c r="A253" s="16">
        <v>44158</v>
      </c>
    </row>
    <row r="254" spans="1:1" x14ac:dyDescent="0.45">
      <c r="A254" s="16">
        <v>44159</v>
      </c>
    </row>
    <row r="255" spans="1:1" x14ac:dyDescent="0.45">
      <c r="A255" s="16">
        <v>44160</v>
      </c>
    </row>
    <row r="256" spans="1:1" x14ac:dyDescent="0.45">
      <c r="A256" s="16">
        <v>44161</v>
      </c>
    </row>
    <row r="257" spans="1:1" x14ac:dyDescent="0.45">
      <c r="A257" s="16">
        <v>44162</v>
      </c>
    </row>
    <row r="258" spans="1:1" x14ac:dyDescent="0.45">
      <c r="A258" s="16">
        <v>44163</v>
      </c>
    </row>
    <row r="259" spans="1:1" x14ac:dyDescent="0.45">
      <c r="A259" s="16">
        <v>44164</v>
      </c>
    </row>
    <row r="260" spans="1:1" x14ac:dyDescent="0.45">
      <c r="A260" s="16">
        <v>44165</v>
      </c>
    </row>
    <row r="261" spans="1:1" x14ac:dyDescent="0.45">
      <c r="A261" s="16">
        <v>44166</v>
      </c>
    </row>
    <row r="262" spans="1:1" x14ac:dyDescent="0.45">
      <c r="A262" s="16">
        <v>44167</v>
      </c>
    </row>
    <row r="263" spans="1:1" x14ac:dyDescent="0.45">
      <c r="A263" s="16">
        <v>44168</v>
      </c>
    </row>
    <row r="264" spans="1:1" x14ac:dyDescent="0.45">
      <c r="A264" s="16">
        <v>44169</v>
      </c>
    </row>
    <row r="265" spans="1:1" x14ac:dyDescent="0.45">
      <c r="A265" s="16">
        <v>44170</v>
      </c>
    </row>
    <row r="266" spans="1:1" x14ac:dyDescent="0.45">
      <c r="A266" s="16">
        <v>44171</v>
      </c>
    </row>
    <row r="267" spans="1:1" x14ac:dyDescent="0.45">
      <c r="A267" s="16">
        <v>44172</v>
      </c>
    </row>
    <row r="268" spans="1:1" x14ac:dyDescent="0.45">
      <c r="A268" s="16">
        <v>44173</v>
      </c>
    </row>
    <row r="269" spans="1:1" x14ac:dyDescent="0.45">
      <c r="A269" s="16">
        <v>44174</v>
      </c>
    </row>
    <row r="270" spans="1:1" x14ac:dyDescent="0.45">
      <c r="A270" s="16">
        <v>44175</v>
      </c>
    </row>
    <row r="271" spans="1:1" x14ac:dyDescent="0.45">
      <c r="A271" s="16">
        <v>44176</v>
      </c>
    </row>
    <row r="272" spans="1:1" x14ac:dyDescent="0.45">
      <c r="A272" s="16">
        <v>44177</v>
      </c>
    </row>
    <row r="273" spans="1:1" x14ac:dyDescent="0.45">
      <c r="A273" s="16">
        <v>44178</v>
      </c>
    </row>
    <row r="274" spans="1:1" x14ac:dyDescent="0.45">
      <c r="A274" s="16">
        <v>44179</v>
      </c>
    </row>
    <row r="275" spans="1:1" x14ac:dyDescent="0.45">
      <c r="A275" s="16">
        <v>44180</v>
      </c>
    </row>
    <row r="276" spans="1:1" x14ac:dyDescent="0.45">
      <c r="A276" s="16">
        <v>44181</v>
      </c>
    </row>
    <row r="277" spans="1:1" x14ac:dyDescent="0.45">
      <c r="A277" s="16">
        <v>44182</v>
      </c>
    </row>
    <row r="278" spans="1:1" x14ac:dyDescent="0.45">
      <c r="A278" s="16">
        <v>44183</v>
      </c>
    </row>
    <row r="279" spans="1:1" x14ac:dyDescent="0.45">
      <c r="A279" s="16">
        <v>44184</v>
      </c>
    </row>
    <row r="280" spans="1:1" x14ac:dyDescent="0.45">
      <c r="A280" s="16">
        <v>44185</v>
      </c>
    </row>
    <row r="281" spans="1:1" x14ac:dyDescent="0.45">
      <c r="A281" s="16">
        <v>44186</v>
      </c>
    </row>
    <row r="282" spans="1:1" x14ac:dyDescent="0.45">
      <c r="A282" s="16">
        <v>44187</v>
      </c>
    </row>
    <row r="283" spans="1:1" x14ac:dyDescent="0.45">
      <c r="A283" s="16">
        <v>44188</v>
      </c>
    </row>
    <row r="284" spans="1:1" x14ac:dyDescent="0.45">
      <c r="A284" s="16">
        <v>44189</v>
      </c>
    </row>
    <row r="285" spans="1:1" x14ac:dyDescent="0.45">
      <c r="A285" s="16">
        <v>44190</v>
      </c>
    </row>
    <row r="286" spans="1:1" x14ac:dyDescent="0.45">
      <c r="A286" s="16">
        <v>44191</v>
      </c>
    </row>
    <row r="287" spans="1:1" x14ac:dyDescent="0.45">
      <c r="A287" s="16">
        <v>44192</v>
      </c>
    </row>
    <row r="288" spans="1:1" x14ac:dyDescent="0.45">
      <c r="A288" s="16">
        <v>44193</v>
      </c>
    </row>
    <row r="289" spans="1:1" x14ac:dyDescent="0.45">
      <c r="A289" s="16">
        <v>44194</v>
      </c>
    </row>
    <row r="290" spans="1:1" x14ac:dyDescent="0.45">
      <c r="A290" s="16">
        <v>44195</v>
      </c>
    </row>
    <row r="291" spans="1:1" x14ac:dyDescent="0.45">
      <c r="A291" s="16">
        <v>44196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7D3D6-6518-419E-9C36-40DF378FEADD}">
  <sheetPr>
    <tabColor theme="7"/>
  </sheetPr>
  <dimension ref="A2:B18"/>
  <sheetViews>
    <sheetView workbookViewId="0">
      <selection activeCell="B24" sqref="B24"/>
    </sheetView>
  </sheetViews>
  <sheetFormatPr baseColWidth="10" defaultRowHeight="14.25" x14ac:dyDescent="0.45"/>
  <cols>
    <col min="1" max="1" width="22.1328125" bestFit="1" customWidth="1"/>
    <col min="2" max="2" width="19.1328125" customWidth="1"/>
  </cols>
  <sheetData>
    <row r="2" spans="1:2" x14ac:dyDescent="0.45">
      <c r="A2" s="2" t="s">
        <v>0</v>
      </c>
      <c r="B2" s="2" t="s">
        <v>1</v>
      </c>
    </row>
    <row r="3" spans="1:2" x14ac:dyDescent="0.45">
      <c r="A3" t="s">
        <v>2</v>
      </c>
      <c r="B3" s="1">
        <v>3672.4</v>
      </c>
    </row>
    <row r="4" spans="1:2" x14ac:dyDescent="0.45">
      <c r="A4" t="s">
        <v>3</v>
      </c>
      <c r="B4" s="1">
        <v>3660.92</v>
      </c>
    </row>
    <row r="5" spans="1:2" x14ac:dyDescent="0.45">
      <c r="A5" t="s">
        <v>4</v>
      </c>
      <c r="B5" s="1">
        <v>3670.45</v>
      </c>
    </row>
    <row r="6" spans="1:2" x14ac:dyDescent="0.45">
      <c r="A6" t="s">
        <v>5</v>
      </c>
      <c r="B6" s="1">
        <v>3662.36</v>
      </c>
    </row>
    <row r="7" spans="1:2" x14ac:dyDescent="0.45">
      <c r="A7" t="s">
        <v>6</v>
      </c>
      <c r="B7" s="1">
        <v>3674.63</v>
      </c>
    </row>
    <row r="8" spans="1:2" x14ac:dyDescent="0.45">
      <c r="A8" t="s">
        <v>7</v>
      </c>
      <c r="B8" s="1">
        <v>3667.25</v>
      </c>
    </row>
    <row r="9" spans="1:2" x14ac:dyDescent="0.45">
      <c r="A9" t="s">
        <v>8</v>
      </c>
      <c r="B9" s="1">
        <v>3664.56</v>
      </c>
    </row>
    <row r="10" spans="1:2" x14ac:dyDescent="0.45">
      <c r="A10" t="s">
        <v>9</v>
      </c>
      <c r="B10" s="1">
        <v>3666.23</v>
      </c>
    </row>
    <row r="11" spans="1:2" x14ac:dyDescent="0.45">
      <c r="A11" t="s">
        <v>10</v>
      </c>
      <c r="B11" s="1">
        <v>3662.97</v>
      </c>
    </row>
    <row r="12" spans="1:2" x14ac:dyDescent="0.45">
      <c r="A12" t="s">
        <v>11</v>
      </c>
      <c r="B12" s="1">
        <v>3664.45</v>
      </c>
    </row>
    <row r="13" spans="1:2" x14ac:dyDescent="0.45">
      <c r="A13" t="s">
        <v>12</v>
      </c>
      <c r="B13" s="1">
        <v>3786</v>
      </c>
    </row>
    <row r="14" spans="1:2" x14ac:dyDescent="0.45">
      <c r="A14" t="s">
        <v>13</v>
      </c>
      <c r="B14" s="1">
        <v>3695.8</v>
      </c>
    </row>
    <row r="15" spans="1:2" x14ac:dyDescent="0.45">
      <c r="A15" t="s">
        <v>14</v>
      </c>
      <c r="B15" s="1">
        <v>3663.09</v>
      </c>
    </row>
    <row r="16" spans="1:2" x14ac:dyDescent="0.45">
      <c r="A16" t="s">
        <v>15</v>
      </c>
      <c r="B16" s="1">
        <v>3663.13</v>
      </c>
    </row>
    <row r="17" spans="1:2" x14ac:dyDescent="0.45">
      <c r="A17" t="s">
        <v>16</v>
      </c>
      <c r="B17" s="1">
        <v>3662.73</v>
      </c>
    </row>
    <row r="18" spans="1:2" x14ac:dyDescent="0.45">
      <c r="A18" t="s">
        <v>17</v>
      </c>
      <c r="B18" s="1">
        <v>3663.17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Disclaimer</vt:lpstr>
      <vt:lpstr>Beschreibung</vt:lpstr>
      <vt:lpstr>Impact Tool</vt:lpstr>
      <vt:lpstr>Ausgleichzahlungen</vt:lpstr>
      <vt:lpstr>Pflegebudget</vt:lpstr>
      <vt:lpstr>Pflegebudget alt</vt:lpstr>
      <vt:lpstr>Zeitraum</vt:lpstr>
      <vt:lpstr>LBFW</vt:lpstr>
    </vt:vector>
  </TitlesOfParts>
  <Company>St. Augustinus Kliniken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Thelen</dc:creator>
  <cp:lastModifiedBy>Celine</cp:lastModifiedBy>
  <dcterms:created xsi:type="dcterms:W3CDTF">2020-03-22T11:01:58Z</dcterms:created>
  <dcterms:modified xsi:type="dcterms:W3CDTF">2020-04-20T15:20:23Z</dcterms:modified>
</cp:coreProperties>
</file>