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Users\Celine\Desktop\"/>
    </mc:Choice>
  </mc:AlternateContent>
  <xr:revisionPtr revIDLastSave="0" documentId="8_{7E0CB194-DA84-47D1-AADD-FB1A34B8F489}" xr6:coauthVersionLast="45" xr6:coauthVersionMax="45" xr10:uidLastSave="{00000000-0000-0000-0000-000000000000}"/>
  <workbookProtection workbookAlgorithmName="SHA-512" workbookHashValue="mN+PG83Ptb/BiCVZ5nyICWiaUBnGUXNfyc8VxSD5oNhpipIQ2L2bh3c9vZ0DKbW3uctCcOwNd3ZS3qZz8MhIDQ==" workbookSaltValue="4JU7iM1busd/QdzEhP4Dbg==" workbookSpinCount="100000" lockStructure="1"/>
  <bookViews>
    <workbookView xWindow="-110" yWindow="-110" windowWidth="38620" windowHeight="21220" tabRatio="736" activeTab="3" xr2:uid="{E7ACE1BF-3435-40DE-B22B-AC69B498E73D}"/>
  </bookViews>
  <sheets>
    <sheet name="Deckblatt" sheetId="7" r:id="rId1"/>
    <sheet name="Erläuterungen zum Tool" sheetId="11" r:id="rId2"/>
    <sheet name="Erlöseffekte" sheetId="13" r:id="rId3"/>
    <sheet name="Basisdaten und PLAN 2020" sheetId="10" r:id="rId4"/>
    <sheet name="COVID-19 Fälle und DRG" sheetId="3" r:id="rId5"/>
    <sheet name="ICD_OPS" sheetId="4" r:id="rId6"/>
    <sheet name="Jahresfallverteilung" sheetId="6" r:id="rId7"/>
    <sheet name="LBFW" sheetId="14" state="hidden" r:id="rId8"/>
  </sheets>
  <externalReferences>
    <externalReference r:id="rId9"/>
  </externalReferences>
  <definedNames>
    <definedName name="_xlnm._FilterDatabase" localSheetId="3" hidden="1">'Basisdaten und PLAN 2020'!#REF!</definedName>
    <definedName name="_xlnm._FilterDatabase" localSheetId="2" hidden="1">Erlöseffekte!$J$14:$J$51</definedName>
    <definedName name="AUS_BET">'Basisdaten und PLAN 2020'!$I$17</definedName>
    <definedName name="AUS_BET_Tage">'Basisdaten und PLAN 2020'!$I$13</definedName>
    <definedName name="AUSL_P2020">'Basisdaten und PLAN 2020'!$D$6</definedName>
    <definedName name="Auslastung_ITS">[1]Sachkostenrechner!$I$9</definedName>
    <definedName name="Auslastung_Normalstation">[1]Sachkostenrechner!$E$9</definedName>
    <definedName name="Betten_ITS">[1]Sachkostenrechner!$I$8</definedName>
    <definedName name="Betten_Normalstation">[1]Sachkostenrechner!$E$8</definedName>
    <definedName name="Betten_P2020">'Basisdaten und PLAN 2020'!$D$5</definedName>
    <definedName name="BFW">'COVID-19 Fälle und DRG'!#REF!</definedName>
    <definedName name="BFW_2020">'Basisdaten und PLAN 2020'!$I$20</definedName>
    <definedName name="CMI_COVID">'COVID-19 Fälle und DRG'!$D$20</definedName>
    <definedName name="CMI_P2020">'Basisdaten und PLAN 2020'!$D$10</definedName>
    <definedName name="CV19_Fall">#REF!</definedName>
    <definedName name="DRG_COVID">'COVID-19 Fälle und DRG'!$S$20</definedName>
    <definedName name="EP_Gruppe0">[1]Sachkostenrechner!$O$15</definedName>
    <definedName name="EP_Gruppe1">[1]Sachkostenrechner!$O$21</definedName>
    <definedName name="EP_Gruppe2">[1]Sachkostenrechner!$O$29</definedName>
    <definedName name="EP_Gruppe3">[1]Sachkostenrechner!$O$38</definedName>
    <definedName name="ERL_COVID">'COVID-19 Fälle und DRG'!$V$20</definedName>
    <definedName name="F_COVID">'COVID-19 Fälle und DRG'!$C$3</definedName>
    <definedName name="F_Kap_COVID">'Basisdaten und PLAN 2020'!$I$21</definedName>
    <definedName name="Faelle_stat">#REF!</definedName>
    <definedName name="FZ_2020">'Basisdaten und PLAN 2020'!$D$7</definedName>
    <definedName name="FZ_Q1">Jahresfallverteilung!$E$7</definedName>
    <definedName name="FZ_Q2">Jahresfallverteilung!$E$10</definedName>
    <definedName name="FZ_Q3">Jahresfallverteilung!$E$13</definedName>
    <definedName name="FZ_Q4">Jahresfallverteilung!$E$16</definedName>
    <definedName name="GP_Gruppe0">[1]Sachkostenrechner!$Q$15</definedName>
    <definedName name="GP_Gruppe1">[1]Sachkostenrechner!$Q$21</definedName>
    <definedName name="GP_Gruppe2">[1]Sachkostenrechner!$Q$29</definedName>
    <definedName name="GP_Gruppe3">[1]Sachkostenrechner!$Q$38</definedName>
    <definedName name="MVD_2020">'Basisdaten und PLAN 2020'!$D$12</definedName>
    <definedName name="PE_COVID">'COVID-19 Fälle und DRG'!$T$20</definedName>
    <definedName name="PEW">'COVID-19 Fälle und DRG'!#REF!</definedName>
    <definedName name="PEW_NEU">'Basisdaten und PLAN 2020'!$I$19</definedName>
    <definedName name="PEW_P2020">'Basisdaten und PLAN 2020'!$I$18</definedName>
    <definedName name="PMId_COVID">'COVID-19 Fälle und DRG'!$E$20</definedName>
    <definedName name="PMId_P2020">'Basisdaten und PLAN 2020'!$D$11</definedName>
    <definedName name="PSA">'Basisdaten und PLAN 2020'!$I$14</definedName>
    <definedName name="PSA_COV">'Basisdaten und PLAN 2020'!$I$15</definedName>
    <definedName name="PSA_Erloes_Normalstation">[1]Sachkostenrechner!$F$32</definedName>
    <definedName name="PSA_Erlös_ITS">[1]Sachkostenrechner!$K$32</definedName>
    <definedName name="Q1_Tage">'Basisdaten und PLAN 2020'!$I$8</definedName>
    <definedName name="Q2_Tage">'Basisdaten und PLAN 2020'!$I$9</definedName>
    <definedName name="Q3_Tage">'Basisdaten und PLAN 2020'!$I$10</definedName>
    <definedName name="Q4_Tage">'Basisdaten und PLAN 2020'!$I$11</definedName>
    <definedName name="T_COVID">'COVID-19 Fälle und DRG'!$P$20</definedName>
    <definedName name="Tage_2020">'Basisdaten und PLAN 2020'!$I$5</definedName>
    <definedName name="Tage_maerz">'Basisdaten und PLAN 2020'!$I$7</definedName>
    <definedName name="Tage_VOR">'Basisdaten und PLAN 2020'!$I$6</definedName>
    <definedName name="VwD" localSheetId="2">#REF!</definedName>
    <definedName name="VwD" localSheetId="7">#REF!</definedName>
    <definedName name="VwD">#REF!</definedName>
    <definedName name="ZE_COVID">'COVID-19 Fälle und DRG'!$V$20</definedName>
    <definedName name="ZE_P2020">'Basisdaten und PLAN 2020'!$D$17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0" l="1"/>
  <c r="F6" i="13"/>
  <c r="F7" i="13"/>
  <c r="F8" i="13"/>
  <c r="F9" i="13"/>
  <c r="C3" i="3" l="1"/>
  <c r="O15" i="3" s="1"/>
  <c r="P15" i="3" s="1"/>
  <c r="I9" i="10"/>
  <c r="B8" i="13" s="1"/>
  <c r="D18" i="10"/>
  <c r="L17" i="13" s="1"/>
  <c r="D15" i="10"/>
  <c r="I20" i="10" s="1"/>
  <c r="D2" i="6"/>
  <c r="C11" i="6" s="1"/>
  <c r="I5" i="10"/>
  <c r="D6" i="10" s="1"/>
  <c r="E50" i="13"/>
  <c r="K50" i="13"/>
  <c r="M50" i="13" s="1"/>
  <c r="L19" i="13"/>
  <c r="L18" i="13"/>
  <c r="F20" i="10"/>
  <c r="O21" i="3"/>
  <c r="E21" i="13" s="1"/>
  <c r="E22" i="13" s="1"/>
  <c r="G7" i="13"/>
  <c r="G6" i="13"/>
  <c r="H10" i="13"/>
  <c r="H9" i="13"/>
  <c r="H8" i="13"/>
  <c r="H7" i="13"/>
  <c r="H6" i="13"/>
  <c r="I10" i="13"/>
  <c r="I9" i="13"/>
  <c r="I8" i="13"/>
  <c r="I7" i="13"/>
  <c r="I6" i="13"/>
  <c r="J19" i="10"/>
  <c r="M44" i="13"/>
  <c r="M45" i="13"/>
  <c r="I7" i="10"/>
  <c r="D7" i="13"/>
  <c r="I6" i="10"/>
  <c r="J11" i="13"/>
  <c r="O22" i="3"/>
  <c r="E24" i="13"/>
  <c r="E25" i="13" s="1"/>
  <c r="O23" i="3"/>
  <c r="O24" i="3"/>
  <c r="O25" i="3"/>
  <c r="C15" i="3"/>
  <c r="D15" i="3"/>
  <c r="E15" i="3"/>
  <c r="J15" i="3"/>
  <c r="C16" i="3"/>
  <c r="D16" i="3"/>
  <c r="E16" i="3"/>
  <c r="J16" i="3"/>
  <c r="C17" i="3"/>
  <c r="D17" i="3"/>
  <c r="E17" i="3"/>
  <c r="J17" i="3"/>
  <c r="C18" i="3"/>
  <c r="D18" i="3"/>
  <c r="E18" i="3"/>
  <c r="K18" i="3"/>
  <c r="D14" i="3"/>
  <c r="E14" i="3"/>
  <c r="J14" i="3"/>
  <c r="C14" i="3"/>
  <c r="D17" i="6"/>
  <c r="C18" i="6" s="1"/>
  <c r="K15" i="3"/>
  <c r="I12" i="10"/>
  <c r="I11" i="10"/>
  <c r="I10" i="10"/>
  <c r="B9" i="13"/>
  <c r="I8" i="10"/>
  <c r="I13" i="10"/>
  <c r="C9" i="3"/>
  <c r="C10" i="3" s="1"/>
  <c r="K17" i="3"/>
  <c r="K16" i="3"/>
  <c r="K14" i="3"/>
  <c r="B7" i="13"/>
  <c r="B6" i="13"/>
  <c r="B11" i="13" s="1"/>
  <c r="J18" i="3"/>
  <c r="B10" i="13"/>
  <c r="O14" i="3" l="1"/>
  <c r="Q14" i="3" s="1"/>
  <c r="O16" i="3"/>
  <c r="V16" i="3" s="1"/>
  <c r="E47" i="13"/>
  <c r="E48" i="13"/>
  <c r="O18" i="3"/>
  <c r="Q18" i="3" s="1"/>
  <c r="O17" i="3"/>
  <c r="P17" i="3" s="1"/>
  <c r="V15" i="3"/>
  <c r="Q15" i="3"/>
  <c r="R15" i="3"/>
  <c r="V18" i="3"/>
  <c r="T16" i="3"/>
  <c r="T15" i="3"/>
  <c r="C10" i="6"/>
  <c r="C8" i="6"/>
  <c r="E10" i="6" s="1"/>
  <c r="C15" i="6"/>
  <c r="C12" i="6"/>
  <c r="E13" i="6" s="1"/>
  <c r="C6" i="6"/>
  <c r="C14" i="6"/>
  <c r="C7" i="6"/>
  <c r="C16" i="6"/>
  <c r="C9" i="6"/>
  <c r="C5" i="6"/>
  <c r="E7" i="6" s="1"/>
  <c r="D8" i="10" s="1"/>
  <c r="L23" i="13" s="1"/>
  <c r="C13" i="6"/>
  <c r="E12" i="3"/>
  <c r="I14" i="3"/>
  <c r="I16" i="3"/>
  <c r="I15" i="3"/>
  <c r="I17" i="3"/>
  <c r="I18" i="3"/>
  <c r="C10" i="13"/>
  <c r="C8" i="13"/>
  <c r="C9" i="13"/>
  <c r="D6" i="13"/>
  <c r="D16" i="10"/>
  <c r="Q16" i="3" l="1"/>
  <c r="P14" i="3"/>
  <c r="R17" i="3"/>
  <c r="T14" i="3"/>
  <c r="V17" i="3"/>
  <c r="P18" i="3"/>
  <c r="R16" i="3"/>
  <c r="V14" i="3"/>
  <c r="V20" i="3" s="1"/>
  <c r="K48" i="13" s="1"/>
  <c r="M48" i="13" s="1"/>
  <c r="R14" i="3"/>
  <c r="R20" i="3" s="1"/>
  <c r="R22" i="3" s="1"/>
  <c r="T18" i="3"/>
  <c r="P16" i="3"/>
  <c r="R18" i="3"/>
  <c r="Q17" i="3"/>
  <c r="O20" i="3"/>
  <c r="T17" i="3"/>
  <c r="P20" i="3"/>
  <c r="P24" i="3" s="1"/>
  <c r="L35" i="13"/>
  <c r="L37" i="13"/>
  <c r="E9" i="13"/>
  <c r="E16" i="6"/>
  <c r="D9" i="10"/>
  <c r="L26" i="13" s="1"/>
  <c r="C17" i="6"/>
  <c r="S16" i="3"/>
  <c r="M16" i="3"/>
  <c r="S14" i="3"/>
  <c r="M14" i="3"/>
  <c r="S18" i="3"/>
  <c r="M18" i="3"/>
  <c r="L29" i="13"/>
  <c r="L31" i="13"/>
  <c r="E8" i="13"/>
  <c r="S17" i="3"/>
  <c r="M17" i="3"/>
  <c r="L15" i="13"/>
  <c r="D19" i="10"/>
  <c r="L20" i="13" s="1"/>
  <c r="L21" i="13"/>
  <c r="S15" i="3"/>
  <c r="M15" i="3"/>
  <c r="Q20" i="3" l="1"/>
  <c r="Q23" i="3" s="1"/>
  <c r="D23" i="3" s="1"/>
  <c r="Q21" i="3"/>
  <c r="L24" i="13"/>
  <c r="R24" i="3"/>
  <c r="T24" i="3" s="1"/>
  <c r="R25" i="3"/>
  <c r="T25" i="3" s="1"/>
  <c r="Q22" i="3"/>
  <c r="D22" i="3" s="1"/>
  <c r="V23" i="3"/>
  <c r="V22" i="3"/>
  <c r="V21" i="3"/>
  <c r="V24" i="3"/>
  <c r="V25" i="3"/>
  <c r="R23" i="3"/>
  <c r="T23" i="3" s="1"/>
  <c r="P21" i="3"/>
  <c r="R21" i="3"/>
  <c r="M6" i="13" s="1"/>
  <c r="P23" i="3"/>
  <c r="D32" i="13" s="1"/>
  <c r="E20" i="3"/>
  <c r="I49" i="13" s="1"/>
  <c r="G49" i="13"/>
  <c r="D49" i="13" s="1"/>
  <c r="P22" i="3"/>
  <c r="E22" i="3" s="1"/>
  <c r="P25" i="3"/>
  <c r="D38" i="13"/>
  <c r="T22" i="3"/>
  <c r="K26" i="13" s="1"/>
  <c r="M26" i="13" s="1"/>
  <c r="M7" i="13"/>
  <c r="G9" i="13"/>
  <c r="K39" i="13"/>
  <c r="M39" i="13" s="1"/>
  <c r="E35" i="13"/>
  <c r="E36" i="13" s="1"/>
  <c r="E39" i="13" s="1"/>
  <c r="L43" i="13"/>
  <c r="L41" i="13"/>
  <c r="E10" i="13"/>
  <c r="K22" i="13"/>
  <c r="L16" i="13"/>
  <c r="K25" i="13"/>
  <c r="L42" i="13"/>
  <c r="L36" i="13"/>
  <c r="L40" i="13" s="1"/>
  <c r="S20" i="3"/>
  <c r="G8" i="13"/>
  <c r="E29" i="13"/>
  <c r="E30" i="13" s="1"/>
  <c r="K36" i="13"/>
  <c r="L22" i="13"/>
  <c r="L30" i="13"/>
  <c r="L34" i="13" s="1"/>
  <c r="L25" i="13"/>
  <c r="Q25" i="3" l="1"/>
  <c r="D25" i="3" s="1"/>
  <c r="D20" i="3"/>
  <c r="H47" i="13" s="1"/>
  <c r="Q24" i="3"/>
  <c r="D24" i="3" s="1"/>
  <c r="K37" i="13"/>
  <c r="M37" i="13" s="1"/>
  <c r="E23" i="3"/>
  <c r="K7" i="13"/>
  <c r="L7" i="13" s="1"/>
  <c r="H24" i="13" s="1"/>
  <c r="K24" i="13" s="1"/>
  <c r="M24" i="13" s="1"/>
  <c r="K6" i="13"/>
  <c r="L6" i="13" s="1"/>
  <c r="H21" i="13" s="1"/>
  <c r="K21" i="13" s="1"/>
  <c r="M21" i="13" s="1"/>
  <c r="D21" i="3"/>
  <c r="E25" i="3"/>
  <c r="E21" i="3"/>
  <c r="K8" i="13"/>
  <c r="T21" i="3"/>
  <c r="E24" i="3"/>
  <c r="K42" i="13"/>
  <c r="M42" i="13" s="1"/>
  <c r="K9" i="13"/>
  <c r="L9" i="13" s="1"/>
  <c r="H35" i="13" s="1"/>
  <c r="K35" i="13" s="1"/>
  <c r="N7" i="13"/>
  <c r="I26" i="13" s="1"/>
  <c r="G23" i="13"/>
  <c r="D23" i="13" s="1"/>
  <c r="N6" i="13"/>
  <c r="I23" i="13" s="1"/>
  <c r="D44" i="13"/>
  <c r="G26" i="13"/>
  <c r="T20" i="3"/>
  <c r="K49" i="13" s="1"/>
  <c r="M49" i="13" s="1"/>
  <c r="K23" i="13"/>
  <c r="M23" i="13" s="1"/>
  <c r="L28" i="13"/>
  <c r="M9" i="13"/>
  <c r="N9" i="13" s="1"/>
  <c r="I37" i="13" s="1"/>
  <c r="G37" i="13"/>
  <c r="G38" i="13" s="1"/>
  <c r="K38" i="13" s="1"/>
  <c r="M38" i="13" s="1"/>
  <c r="L46" i="13"/>
  <c r="G10" i="13"/>
  <c r="G20" i="13" s="1"/>
  <c r="E41" i="13"/>
  <c r="E42" i="13" s="1"/>
  <c r="E45" i="13" s="1"/>
  <c r="E11" i="13"/>
  <c r="E20" i="13"/>
  <c r="M25" i="13"/>
  <c r="M36" i="13"/>
  <c r="S25" i="3"/>
  <c r="S22" i="3"/>
  <c r="S24" i="3"/>
  <c r="S21" i="3"/>
  <c r="K47" i="13"/>
  <c r="S23" i="3"/>
  <c r="M22" i="13"/>
  <c r="K31" i="13"/>
  <c r="M8" i="13"/>
  <c r="G31" i="13"/>
  <c r="G32" i="13" s="1"/>
  <c r="K32" i="13" s="1"/>
  <c r="L8" i="13"/>
  <c r="H29" i="13" s="1"/>
  <c r="K29" i="13" s="1"/>
  <c r="K30" i="13"/>
  <c r="M30" i="13" s="1"/>
  <c r="E33" i="13"/>
  <c r="K33" i="13" s="1"/>
  <c r="K10" i="13" l="1"/>
  <c r="L10" i="13" s="1"/>
  <c r="F23" i="13"/>
  <c r="D27" i="13"/>
  <c r="G27" i="13"/>
  <c r="K27" i="13" s="1"/>
  <c r="M27" i="13" s="1"/>
  <c r="M28" i="13" s="1"/>
  <c r="K40" i="13"/>
  <c r="G11" i="13"/>
  <c r="D11" i="13" s="1"/>
  <c r="M35" i="13"/>
  <c r="M40" i="13" s="1"/>
  <c r="K43" i="13"/>
  <c r="M43" i="13" s="1"/>
  <c r="M10" i="13"/>
  <c r="N10" i="13" s="1"/>
  <c r="I43" i="13" s="1"/>
  <c r="G43" i="13"/>
  <c r="G44" i="13" s="1"/>
  <c r="K16" i="13"/>
  <c r="M16" i="13" s="1"/>
  <c r="D20" i="13"/>
  <c r="F20" i="13"/>
  <c r="M32" i="13"/>
  <c r="N8" i="13"/>
  <c r="I31" i="13" s="1"/>
  <c r="K51" i="13"/>
  <c r="M51" i="13" s="1"/>
  <c r="M47" i="13"/>
  <c r="K19" i="13"/>
  <c r="M19" i="13" s="1"/>
  <c r="M33" i="13"/>
  <c r="M31" i="13"/>
  <c r="K34" i="13"/>
  <c r="M29" i="13"/>
  <c r="K11" i="13" l="1"/>
  <c r="L11" i="13" s="1"/>
  <c r="H41" i="13" s="1"/>
  <c r="K41" i="13" s="1"/>
  <c r="K46" i="13" s="1"/>
  <c r="F11" i="13"/>
  <c r="K28" i="13"/>
  <c r="K18" i="13"/>
  <c r="M18" i="13" s="1"/>
  <c r="M11" i="13"/>
  <c r="N11" i="13" s="1"/>
  <c r="I20" i="13" s="1"/>
  <c r="K17" i="13"/>
  <c r="M17" i="13" s="1"/>
  <c r="M34" i="13"/>
  <c r="M41" i="13" l="1"/>
  <c r="M46" i="13" s="1"/>
  <c r="K15" i="13"/>
  <c r="M15" i="13" s="1"/>
  <c r="H20" i="13"/>
  <c r="K20" i="13"/>
  <c r="M2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Wilke</author>
  </authors>
  <commentList>
    <comment ref="N13" authorId="0" shapeId="0" xr:uid="{BDE726F6-ECD2-4436-A0EF-4E7669E1B9F0}">
      <text>
        <r>
          <rPr>
            <b/>
            <sz val="9"/>
            <color indexed="81"/>
            <rFont val="Segoe UI"/>
            <family val="2"/>
          </rPr>
          <t>Michael Wilke:</t>
        </r>
        <r>
          <rPr>
            <sz val="9"/>
            <color indexed="81"/>
            <rFont val="Segoe UI"/>
            <family val="2"/>
          </rPr>
          <t xml:space="preserve">
Auf Normalstation können Fälle mit Bronchitis oder Pneumonie liegen. Annahme: 
80% Pneumonie
20% Bronchitis</t>
        </r>
      </text>
    </comment>
    <comment ref="B16" authorId="0" shapeId="0" xr:uid="{43BC4DFD-D5EB-44CB-A5B0-C6E697A6F653}">
      <text>
        <r>
          <rPr>
            <b/>
            <sz val="9"/>
            <color indexed="81"/>
            <rFont val="Segoe UI"/>
            <family val="2"/>
          </rPr>
          <t>Michael Wilke:</t>
        </r>
        <r>
          <rPr>
            <sz val="9"/>
            <color indexed="81"/>
            <rFont val="Segoe UI"/>
            <family val="2"/>
          </rPr>
          <t xml:space="preserve">
Exemplarische Konstellation zur Vereinfachung. 
DRGs sind mit GEOS Grouper validiert
</t>
        </r>
      </text>
    </comment>
    <comment ref="L18" authorId="0" shapeId="0" xr:uid="{AA2524AF-FA4D-40E1-9023-4D7548B391C1}">
      <text>
        <r>
          <rPr>
            <b/>
            <sz val="9"/>
            <color indexed="81"/>
            <rFont val="Segoe UI"/>
            <family val="2"/>
          </rPr>
          <t>Michael Wilke:</t>
        </r>
        <r>
          <rPr>
            <sz val="9"/>
            <color indexed="81"/>
            <rFont val="Segoe UI"/>
            <family val="2"/>
          </rPr>
          <t xml:space="preserve">
ZE-Tarif 2020 Charité
12 Tage ECMO</t>
        </r>
      </text>
    </comment>
  </commentList>
</comments>
</file>

<file path=xl/sharedStrings.xml><?xml version="1.0" encoding="utf-8"?>
<sst xmlns="http://schemas.openxmlformats.org/spreadsheetml/2006/main" count="348" uniqueCount="249">
  <si>
    <t>Normalstation</t>
  </si>
  <si>
    <t>ICU</t>
  </si>
  <si>
    <t>ICU ohne Beatmung</t>
  </si>
  <si>
    <t>ICU mit Beatmung</t>
  </si>
  <si>
    <t>Erläuterung</t>
  </si>
  <si>
    <t>Patientengruppe</t>
  </si>
  <si>
    <t>DRG</t>
  </si>
  <si>
    <t>mVD</t>
  </si>
  <si>
    <t>Gruppe</t>
  </si>
  <si>
    <t>OPS1</t>
  </si>
  <si>
    <t>OPS2</t>
  </si>
  <si>
    <t>OPS3</t>
  </si>
  <si>
    <t>OPS4</t>
  </si>
  <si>
    <t>OPS5</t>
  </si>
  <si>
    <t>3-202</t>
  </si>
  <si>
    <t>8-931</t>
  </si>
  <si>
    <t>1-843</t>
  </si>
  <si>
    <t>HD</t>
  </si>
  <si>
    <t>ND1</t>
  </si>
  <si>
    <t>ND2</t>
  </si>
  <si>
    <t>J12.8</t>
  </si>
  <si>
    <t>U07.1!</t>
  </si>
  <si>
    <t>B97.2!</t>
  </si>
  <si>
    <t>ND3</t>
  </si>
  <si>
    <t>ND4</t>
  </si>
  <si>
    <t>E79B</t>
  </si>
  <si>
    <t>VwD</t>
  </si>
  <si>
    <t>Erlös ZE</t>
  </si>
  <si>
    <t>ZE</t>
  </si>
  <si>
    <t>./.</t>
  </si>
  <si>
    <t>Erlös gesamt</t>
  </si>
  <si>
    <t>E36Z</t>
  </si>
  <si>
    <t>8-98g.12</t>
  </si>
  <si>
    <t>8-980.20</t>
  </si>
  <si>
    <t>ICU mit ECMO</t>
  </si>
  <si>
    <t>ZE2020-03.06</t>
  </si>
  <si>
    <t>OPS6</t>
  </si>
  <si>
    <t>8-852.06</t>
  </si>
  <si>
    <t>J80.02</t>
  </si>
  <si>
    <t>Normalstation, Bronchitis</t>
  </si>
  <si>
    <t>Normalstation, Pneumonie</t>
  </si>
  <si>
    <t>Fälle</t>
  </si>
  <si>
    <t>Verteilung</t>
  </si>
  <si>
    <t>CMI</t>
  </si>
  <si>
    <t>Normalstation Pneumonie</t>
  </si>
  <si>
    <t>Normalstation Bronchitis</t>
  </si>
  <si>
    <t>J20.8</t>
  </si>
  <si>
    <t>E69B</t>
  </si>
  <si>
    <t>Monat</t>
  </si>
  <si>
    <t>Anzahl</t>
  </si>
  <si>
    <t>Zeitraum</t>
  </si>
  <si>
    <t>16.03.2020 - 30.09.2020</t>
  </si>
  <si>
    <t>01.04.2020 - 31.12.2020</t>
  </si>
  <si>
    <t>Handhabung des Tools</t>
  </si>
  <si>
    <t>Rechengrößen in diesem Tool</t>
  </si>
  <si>
    <t>Rechengröße</t>
  </si>
  <si>
    <t>Aufgestellte Krankenhausbetten</t>
  </si>
  <si>
    <t>2019, Annahme: 2020 gleich</t>
  </si>
  <si>
    <t>PLAN-Wert für 2020, adjustierbar je Zeitraum</t>
  </si>
  <si>
    <t>2020, verschiedene Zeiträume</t>
  </si>
  <si>
    <t>PLAN-Wert für 2020</t>
  </si>
  <si>
    <t>€ 560.- für freie Kapazitäten im Vergleich zur mittleren Belegung 2019</t>
  </si>
  <si>
    <t>lfd. Nr.</t>
  </si>
  <si>
    <t>Betten</t>
  </si>
  <si>
    <t>Auslastung</t>
  </si>
  <si>
    <t>Basisfallwert 2020 (BFW)</t>
  </si>
  <si>
    <t>2020 - ganzjährig</t>
  </si>
  <si>
    <t>Fallzahl</t>
  </si>
  <si>
    <t>PLAN-Wert für 2020, wird mittels Auslastung variiert</t>
  </si>
  <si>
    <t>Erlöse aus ZE und §6 - Entgelten</t>
  </si>
  <si>
    <t>2020, automatische Anpassung</t>
  </si>
  <si>
    <t>Mittlere Bewertungsrelation aller Fälle (CMI)</t>
  </si>
  <si>
    <t>Erlöse aus der Behandlung von COVID-19 Patienten</t>
  </si>
  <si>
    <t>ICU-Tage</t>
  </si>
  <si>
    <t>Anzahl COVID-19 Fälle (2020 gesamt)</t>
  </si>
  <si>
    <t>Fallverteilung (aus Analysen von IST-Daten gewonnen, kann modifiziert werden)</t>
  </si>
  <si>
    <t>Gesamt</t>
  </si>
  <si>
    <t>Check</t>
  </si>
  <si>
    <t>PMI/d</t>
  </si>
  <si>
    <t>Tage</t>
  </si>
  <si>
    <t>DRG Erlöse mit COVID-19 Fällen</t>
  </si>
  <si>
    <t>Eingabefeld</t>
  </si>
  <si>
    <t>3. Weitere Rechengrößen</t>
  </si>
  <si>
    <t>Erlöse aus Pflegeentgelten</t>
  </si>
  <si>
    <t xml:space="preserve">Mittlere Bewertungsrelation aller Fälle (CMI) </t>
  </si>
  <si>
    <t xml:space="preserve">Mittlere Pflegeerlösbewertungsrelation/Tag (PMI/d) </t>
  </si>
  <si>
    <t>Kalendertage 2020</t>
  </si>
  <si>
    <t>Kalendertage Q2/2020</t>
  </si>
  <si>
    <t>Kalendertage Q3/2020</t>
  </si>
  <si>
    <t>Kalendertage Q4/2020</t>
  </si>
  <si>
    <t>Kalendertage PSA-Ausgleich</t>
  </si>
  <si>
    <t>von</t>
  </si>
  <si>
    <t>bis</t>
  </si>
  <si>
    <t>DRG - Erlöse</t>
  </si>
  <si>
    <t>Fallzahl x CMI x BFW</t>
  </si>
  <si>
    <t>Erlöse aus ZE &amp; §6-Entgelte</t>
  </si>
  <si>
    <t>Fallzahl x PMI/d x PEW x mVD</t>
  </si>
  <si>
    <t>Mittlere VwD der DRG-Fälle (mVD)</t>
  </si>
  <si>
    <t>Eingabefeld (Annahme: 9% von DRG, kann geändert werden)</t>
  </si>
  <si>
    <t>Abweichung</t>
  </si>
  <si>
    <t>Q2 / 2020</t>
  </si>
  <si>
    <t>Q3 / 2020</t>
  </si>
  <si>
    <t>Q4 / 2020</t>
  </si>
  <si>
    <t>01.01.-15.03.2020</t>
  </si>
  <si>
    <t>16.03.-31.03.2020</t>
  </si>
  <si>
    <t>Basisdaten &amp; PLAN_2020</t>
  </si>
  <si>
    <t>Budget PLAN 2020</t>
  </si>
  <si>
    <t>CM</t>
  </si>
  <si>
    <t>DRG - Erlös</t>
  </si>
  <si>
    <t>ZE - Erlös</t>
  </si>
  <si>
    <t>GESAMTBETRACHTUNG</t>
  </si>
  <si>
    <t>FZ je Quartal</t>
  </si>
  <si>
    <t>Anteil pro Monat %</t>
  </si>
  <si>
    <t>derzeitige Gesetzeslage</t>
  </si>
  <si>
    <t>2. Erlösbudget (PLAN 2020)</t>
  </si>
  <si>
    <t>Fallverteilung 2020 (aus 2019)</t>
  </si>
  <si>
    <t>Januar</t>
  </si>
  <si>
    <t>Februar</t>
  </si>
  <si>
    <t>März</t>
  </si>
  <si>
    <t>April</t>
  </si>
  <si>
    <t>Mai</t>
  </si>
  <si>
    <t>Juni</t>
  </si>
  <si>
    <t>Juli</t>
  </si>
  <si>
    <t>August</t>
  </si>
  <si>
    <t>September</t>
  </si>
  <si>
    <t>Oktober</t>
  </si>
  <si>
    <t>November</t>
  </si>
  <si>
    <t>Dezember</t>
  </si>
  <si>
    <t>ICD / OPS Kodierungen für verschiedene COVID-19 Patientengruppen</t>
  </si>
  <si>
    <t>Aus Gesetz</t>
  </si>
  <si>
    <t>€ 185.- ab 01.04.2020 bis zur nächsten Pflegebudgetvereinbarung</t>
  </si>
  <si>
    <t>Mittlere Pflegeerlösbewertungsrelation/Tag (PMI/d)</t>
  </si>
  <si>
    <t>Mittlere Verweildauer im KH</t>
  </si>
  <si>
    <t>Erhöhter Pflegeentgeltwert</t>
  </si>
  <si>
    <t>Ausgleichzahlungen für Erhöhung der Bettenkapazität</t>
  </si>
  <si>
    <t>Abgeltung von Preis- und Mengensteigerungen bei persönlicher Schutzausrüstung (PSA-Pauschale)</t>
  </si>
  <si>
    <t>ICU mit Beatmung (96-499h)</t>
  </si>
  <si>
    <t>BewRel</t>
  </si>
  <si>
    <t>Beatmung (h)</t>
  </si>
  <si>
    <t>96-499</t>
  </si>
  <si>
    <t>1. KH- oder landesbezogene Eingabeparameter (PLAN 2020 oder IST 2019 nach aG-DRG 2020)</t>
  </si>
  <si>
    <t>aG-DRG 2020</t>
  </si>
  <si>
    <t>ICU-Tage (Basis für TISS/SAPS)</t>
  </si>
  <si>
    <t>Pflegeerlösrelation pro Tag</t>
  </si>
  <si>
    <t>J96.00</t>
  </si>
  <si>
    <t>A13E</t>
  </si>
  <si>
    <t>250-499</t>
  </si>
  <si>
    <t>A11E</t>
  </si>
  <si>
    <t>ICU mit ECMO (Beatmung 250-499h)</t>
  </si>
  <si>
    <t>Erlös DRG/Fall</t>
  </si>
  <si>
    <t>Erlös Pflege/Fall</t>
  </si>
  <si>
    <t>8-98g.11</t>
  </si>
  <si>
    <t>ICU mit Beatmung UND ECMO</t>
  </si>
  <si>
    <t>Erläuterungen zu den COVID-19 DRGs</t>
  </si>
  <si>
    <t>PMI / Fall</t>
  </si>
  <si>
    <t>mVD im Zeitraum</t>
  </si>
  <si>
    <t>COVID-19 Fälle (Anzahl)</t>
  </si>
  <si>
    <t xml:space="preserve">CMI </t>
  </si>
  <si>
    <t>Kalendertage 01.01.-15.03.2020</t>
  </si>
  <si>
    <t>Budgetsimulation in der Corona Pandemie unter Berücksichtigung des COVKHEntlG</t>
  </si>
  <si>
    <t>ALLE Erlöse in 2020</t>
  </si>
  <si>
    <t>DRG Erlöse</t>
  </si>
  <si>
    <t>Erlöse ZE &amp; §6 Entgelte</t>
  </si>
  <si>
    <t>Erlöse Pflege</t>
  </si>
  <si>
    <t>Zuschlag Kostensteigerung PSA</t>
  </si>
  <si>
    <t>Gesamtbetrachtung (jeweils MIT COVID-19 Fällen)</t>
  </si>
  <si>
    <t>Hilfsrechnung CM</t>
  </si>
  <si>
    <t>Daten zum Betrieb OHNE COVID-19 Fälle</t>
  </si>
  <si>
    <t>Zeitraum 01.01.-15.03.2020</t>
  </si>
  <si>
    <t>Zeitraum 16.03.-31.03.2020</t>
  </si>
  <si>
    <t>PM</t>
  </si>
  <si>
    <t>CMI mit COVID-19</t>
  </si>
  <si>
    <t>Q1 / 2020 gesamt</t>
  </si>
  <si>
    <t>ALLE Erlöse in Q1/2020</t>
  </si>
  <si>
    <t>Q2 / 2020 gesamt</t>
  </si>
  <si>
    <t>ALLE Erlöse in Q2/2020</t>
  </si>
  <si>
    <t>Q3 / 2020 gesamt</t>
  </si>
  <si>
    <t>ALLE Erlöse in Q3/2020</t>
  </si>
  <si>
    <t>Q4 / 2020 gesamt</t>
  </si>
  <si>
    <t>Erlöse mit COVID-19 Fällen</t>
  </si>
  <si>
    <t>Beschreibung</t>
  </si>
  <si>
    <t>ALLE Erlöse in Q4/2020</t>
  </si>
  <si>
    <t>Gesamt 2020</t>
  </si>
  <si>
    <t>Ergebnis 2020 mit COVID-19</t>
  </si>
  <si>
    <t>Pflege-Erlös (PEW = 185)</t>
  </si>
  <si>
    <t>Anzahl Patienten wird eingegeben, dann Berechnung anhand exemplarischem CaseMix (sh. Tabellenblatt COVID-19 Fälle)</t>
  </si>
  <si>
    <t>Belegungstage (errechnet aus FZ x mVD</t>
  </si>
  <si>
    <t>Bundesland</t>
  </si>
  <si>
    <t>LBFW mit Ausgleich</t>
  </si>
  <si>
    <t>Baden-Württemberg</t>
  </si>
  <si>
    <t>Bayern</t>
  </si>
  <si>
    <t>Berlin</t>
  </si>
  <si>
    <t>Brandenburg</t>
  </si>
  <si>
    <t>Bremen</t>
  </si>
  <si>
    <t>Hamburg</t>
  </si>
  <si>
    <t>Hessen</t>
  </si>
  <si>
    <t>Mecklenburg-Vorpommern</t>
  </si>
  <si>
    <t>Niedersachsen</t>
  </si>
  <si>
    <t>Nordrhein-Westfalen</t>
  </si>
  <si>
    <t>Rheinland-Pfalz</t>
  </si>
  <si>
    <t>Saarland</t>
  </si>
  <si>
    <t>Sachsen</t>
  </si>
  <si>
    <t xml:space="preserve">Sachsen-Anhalt </t>
  </si>
  <si>
    <t>Schleswig-Holstein</t>
  </si>
  <si>
    <t>Thüringen</t>
  </si>
  <si>
    <r>
      <t xml:space="preserve">Landesbasisfallwert </t>
    </r>
    <r>
      <rPr>
        <i/>
        <sz val="9"/>
        <color theme="1"/>
        <rFont val="Avenir Next LT Pro"/>
        <family val="2"/>
      </rPr>
      <t>(individuell auswählbar)</t>
    </r>
  </si>
  <si>
    <t>BFW 2020: individuell für jedes Bundesland auswählbar</t>
  </si>
  <si>
    <t>Kalendertage 16.03.-31.03.2020</t>
  </si>
  <si>
    <t>Kalendertage Q1/2020</t>
  </si>
  <si>
    <r>
      <t xml:space="preserve">Die hier vorgeschlagenen DRGs sind </t>
    </r>
    <r>
      <rPr>
        <b/>
        <sz val="9"/>
        <color theme="4"/>
        <rFont val="Avenir Next LT Pro"/>
        <family val="2"/>
      </rPr>
      <t>typische DRGs, die COVID-19 Patienten erreichen</t>
    </r>
    <r>
      <rPr>
        <sz val="9"/>
        <color theme="1"/>
        <rFont val="Avenir Next LT Pro"/>
        <family val="2"/>
      </rPr>
      <t xml:space="preserve"> können. 
Auf der Normalstation werden hauptsächlich Patienten mit einer schweren Bronchitis und einer Pneumonie behandelt werden. 
Nachdem die meisten Patienten, die der stationären Behandlung bedürfen </t>
    </r>
    <r>
      <rPr>
        <b/>
        <sz val="9"/>
        <color theme="4"/>
        <rFont val="Avenir Next LT Pro"/>
        <family val="2"/>
      </rPr>
      <t>über 55 Jahre</t>
    </r>
    <r>
      <rPr>
        <sz val="9"/>
        <color theme="1"/>
        <rFont val="Avenir Next LT Pro"/>
        <family val="2"/>
      </rPr>
      <t xml:space="preserve"> sind, ergibt sich </t>
    </r>
    <r>
      <rPr>
        <b/>
        <sz val="9"/>
        <color theme="4"/>
        <rFont val="Avenir Next LT Pro"/>
        <family val="2"/>
      </rPr>
      <t>bei Bronchitis die DRG E69B</t>
    </r>
    <r>
      <rPr>
        <sz val="9"/>
        <color theme="1"/>
        <rFont val="Avenir Next LT Pro"/>
        <family val="2"/>
      </rPr>
      <t xml:space="preserve">.
Entsprechend der Kodierhinweise des DIMDI vom 16.04.2020  (https://www.dimdi.de/dynamic/de/klassifikationen/kodierfrage/ops-8040/ ) wurde für alle Fälle die </t>
    </r>
    <r>
      <rPr>
        <b/>
        <sz val="9"/>
        <color theme="4"/>
        <rFont val="Avenir Next LT Pro"/>
        <family val="2"/>
      </rPr>
      <t>OPS 8-98g.1-</t>
    </r>
    <r>
      <rPr>
        <b/>
        <sz val="9"/>
        <color rgb="FF0070C0"/>
        <rFont val="Avenir Next LT Pro"/>
        <family val="2"/>
      </rPr>
      <t xml:space="preserve"> </t>
    </r>
    <r>
      <rPr>
        <sz val="9"/>
        <color theme="1"/>
        <rFont val="Avenir Next LT Pro"/>
        <family val="2"/>
      </rPr>
      <t xml:space="preserve">kodiert, da die wenigsten Häuser über eine "spezielle Isoliereinheit" verfügen. </t>
    </r>
    <r>
      <rPr>
        <b/>
        <sz val="9"/>
        <color theme="4"/>
        <rFont val="Avenir Next LT Pro"/>
        <family val="2"/>
      </rPr>
      <t>Bei Pneumonie</t>
    </r>
    <r>
      <rPr>
        <b/>
        <sz val="9"/>
        <color rgb="FF0070C0"/>
        <rFont val="Avenir Next LT Pro"/>
        <family val="2"/>
      </rPr>
      <t xml:space="preserve"> </t>
    </r>
    <r>
      <rPr>
        <sz val="9"/>
        <color theme="1"/>
        <rFont val="Avenir Next LT Pro"/>
        <family val="2"/>
      </rPr>
      <t xml:space="preserve">ergibt sich so die </t>
    </r>
    <r>
      <rPr>
        <b/>
        <sz val="9"/>
        <color theme="4"/>
        <rFont val="Avenir Next LT Pro"/>
        <family val="2"/>
      </rPr>
      <t>DRG E79B</t>
    </r>
    <r>
      <rPr>
        <b/>
        <sz val="9"/>
        <color rgb="FF0070C0"/>
        <rFont val="Avenir Next LT Pro"/>
        <family val="2"/>
      </rPr>
      <t>.</t>
    </r>
    <r>
      <rPr>
        <sz val="9"/>
        <color theme="1"/>
        <rFont val="Avenir Next LT Pro"/>
        <family val="2"/>
      </rPr>
      <t xml:space="preserve">
Auf der Intensivstation wird eine</t>
    </r>
    <r>
      <rPr>
        <b/>
        <sz val="9"/>
        <color rgb="FF0070C0"/>
        <rFont val="Avenir Next LT Pro"/>
        <family val="2"/>
      </rPr>
      <t xml:space="preserve"> </t>
    </r>
    <r>
      <rPr>
        <b/>
        <sz val="9"/>
        <color theme="4"/>
        <rFont val="Avenir Next LT Pro"/>
        <family val="2"/>
      </rPr>
      <t>Intensivkomplexpauschale von 553 bis 828 Aufwandspunkte</t>
    </r>
    <r>
      <rPr>
        <b/>
        <sz val="9"/>
        <color rgb="FF0070C0"/>
        <rFont val="Avenir Next LT Pro"/>
        <family val="2"/>
      </rPr>
      <t xml:space="preserve"> </t>
    </r>
    <r>
      <rPr>
        <sz val="9"/>
        <color theme="1"/>
        <rFont val="Avenir Next LT Pro"/>
        <family val="2"/>
      </rPr>
      <t xml:space="preserve">angenommen. Häuser, bei denen die aufwändige Komplexpauschale kodiert werden darf, können die DRGs gerne anpassen.
Es ergeben sich die </t>
    </r>
    <r>
      <rPr>
        <b/>
        <sz val="9"/>
        <color theme="4"/>
        <rFont val="Avenir Next LT Pro"/>
        <family val="2"/>
      </rPr>
      <t>DRG E36Z ohne Beatmung</t>
    </r>
    <r>
      <rPr>
        <sz val="9"/>
        <color theme="1"/>
        <rFont val="Avenir Next LT Pro"/>
        <family val="2"/>
      </rPr>
      <t xml:space="preserve">, bei </t>
    </r>
    <r>
      <rPr>
        <b/>
        <sz val="9"/>
        <color theme="4"/>
        <rFont val="Avenir Next LT Pro"/>
        <family val="2"/>
      </rPr>
      <t>Beatmung ohne ECMO</t>
    </r>
    <r>
      <rPr>
        <sz val="9"/>
        <color theme="1"/>
        <rFont val="Avenir Next LT Pro"/>
        <family val="2"/>
      </rPr>
      <t xml:space="preserve"> die</t>
    </r>
    <r>
      <rPr>
        <b/>
        <sz val="9"/>
        <color rgb="FF0070C0"/>
        <rFont val="Avenir Next LT Pro"/>
        <family val="2"/>
      </rPr>
      <t xml:space="preserve"> </t>
    </r>
    <r>
      <rPr>
        <b/>
        <sz val="9"/>
        <color theme="4"/>
        <rFont val="Avenir Next LT Pro"/>
        <family val="2"/>
      </rPr>
      <t>DRG A13E</t>
    </r>
    <r>
      <rPr>
        <sz val="9"/>
        <color theme="1"/>
        <rFont val="Avenir Next LT Pro"/>
        <family val="2"/>
      </rPr>
      <t xml:space="preserve"> und mit </t>
    </r>
    <r>
      <rPr>
        <b/>
        <sz val="9"/>
        <color theme="4"/>
        <rFont val="Avenir Next LT Pro"/>
        <family val="2"/>
      </rPr>
      <t>ECMO sowie Beatmung 250h und mehr die DRG A11E</t>
    </r>
    <r>
      <rPr>
        <sz val="9"/>
        <color theme="1"/>
        <rFont val="Avenir Next LT Pro"/>
        <family val="2"/>
      </rPr>
      <t xml:space="preserve">).
</t>
    </r>
    <r>
      <rPr>
        <b/>
        <sz val="9"/>
        <color theme="4"/>
        <rFont val="Avenir Next LT Pro"/>
        <family val="2"/>
      </rPr>
      <t>Details zur Kodierung</t>
    </r>
    <r>
      <rPr>
        <sz val="9"/>
        <color theme="1"/>
        <rFont val="Avenir Next LT Pro"/>
        <family val="2"/>
      </rPr>
      <t xml:space="preserve">, die zur DRG Ermittlung zugrunde gelegt wird sind auf dem </t>
    </r>
    <r>
      <rPr>
        <b/>
        <sz val="9"/>
        <color theme="4"/>
        <rFont val="Avenir Next LT Pro"/>
        <family val="2"/>
      </rPr>
      <t>Tabellenblatt ICD_OPS</t>
    </r>
    <r>
      <rPr>
        <sz val="9"/>
        <color theme="1"/>
        <rFont val="Avenir Next LT Pro"/>
        <family val="2"/>
      </rPr>
      <t xml:space="preserve"> zu finden.
</t>
    </r>
  </si>
  <si>
    <t>Plausi-Check</t>
  </si>
  <si>
    <t>Voraussichtliche IST - Erlöse 2020</t>
  </si>
  <si>
    <t>Plan - 
Erlöse 2020</t>
  </si>
  <si>
    <t>Auswählbarer Filter</t>
  </si>
  <si>
    <t>Auslastung (Berechnet aus: (FZ x mVD) / (Betten x Kalendertage 2020)</t>
  </si>
  <si>
    <t>Zuschlag Kostensteigerung PSA (Q2/2020)</t>
  </si>
  <si>
    <t>Tatsächliche stat. Auslastung</t>
  </si>
  <si>
    <t>Fallzahl (FZ) OHNE COVID-19 - errechnet ab Q2</t>
  </si>
  <si>
    <t>Pflegeentgeltwert VOR Budgetvereinbarung</t>
  </si>
  <si>
    <t>Prof. Dr. med. Steffen Gramminger, Geschäftsführer der hessischen Krankenhausgesellschaft, Leiter Department Medizinmanagement, Medical School Hamburg - steffen.gramminger@hkg-online.de</t>
  </si>
  <si>
    <t xml:space="preserve">Dr. Jörg Risse, Geschäftsführer Vicondo Healthcare GmbH - joerg.risse@vicondo-healthcare.de </t>
  </si>
  <si>
    <t xml:space="preserve">Prof. Dr. med. Michael Wilke, Geschäftsführer inspiring-health GmbH, Professor für Krankenhausmanagement, Medical School Hamburg - michael.wilke@inspiring-healh.de </t>
  </si>
  <si>
    <t xml:space="preserve">Disclaimer: 
Das Werkzeug wurde nach besten Wissen erstellt, die Berechnungen mehrfach plausibilisiert und anhand exemplarischer Echtdaten überprüft. 
Die Autoren übernehmen keine Haftung für die Richtigkeit. </t>
  </si>
  <si>
    <r>
      <t xml:space="preserve">Für eine ganz </t>
    </r>
    <r>
      <rPr>
        <b/>
        <sz val="10"/>
        <color theme="4"/>
        <rFont val="Avenir Next LT Pro"/>
        <family val="2"/>
      </rPr>
      <t>exakte krankenhausindividuelle Kalkulation</t>
    </r>
    <r>
      <rPr>
        <sz val="10"/>
        <color theme="1"/>
        <rFont val="Avenir Next LT Pro"/>
        <family val="2"/>
      </rPr>
      <t xml:space="preserve"> empfehlen wir das </t>
    </r>
    <r>
      <rPr>
        <b/>
        <sz val="10"/>
        <color theme="4"/>
        <rFont val="Avenir Next LT Pro"/>
        <family val="2"/>
      </rPr>
      <t>Erlös-Impakt-Tool</t>
    </r>
    <r>
      <rPr>
        <sz val="10"/>
        <color theme="1"/>
        <rFont val="Avenir Next LT Pro"/>
        <family val="2"/>
      </rPr>
      <t>: https: //www.vicondo-healthcare.de/ oder wenden Sie sich gerne direkt an Vicondo Healthcare oder inspiring-health.</t>
    </r>
  </si>
  <si>
    <t>Fallzahl Plan 2020</t>
  </si>
  <si>
    <t>Belegungstage (für Berechnung)</t>
  </si>
  <si>
    <t>Fallzahl Plan 01.01.2020 - 15.03.2020 (berechnet aus FZ_2020, Fallverteilung und anteilige Tage im Quartal)</t>
  </si>
  <si>
    <t>Fallzahl Plan 16.03.2020 - 31.03.2020 (berechnet aus FZ_2020, Fallverteilung und anteilige Tage im Quartal)</t>
  </si>
  <si>
    <t>Ausgleich Erhöhung Bettenkapazität</t>
  </si>
  <si>
    <t>Ausgleich Erhöhung Bettenkapazität (derzeit nur bis 30.09.2020)</t>
  </si>
  <si>
    <t>Kalendertage Ausgl. Erhöhung Bettenkapazität</t>
  </si>
  <si>
    <t>Betrag Ausgl. Erhöhung Bettenkapazität</t>
  </si>
  <si>
    <t>Betrag PSA-Ausgleich / Fall</t>
  </si>
  <si>
    <t>Pflegeentgeltwert ab 01.04.2020 oder NACH Vereinbarung</t>
  </si>
  <si>
    <t>Reserve für COVID-19 in Q2</t>
  </si>
  <si>
    <t>Reserve für COVID-19 in Q3</t>
  </si>
  <si>
    <t>Reserve für COVID-19 in Q4</t>
  </si>
  <si>
    <t>Kapazität mit Berück-sichtigung COVID Reserve</t>
  </si>
  <si>
    <t>Erlösarten 2020</t>
  </si>
  <si>
    <t>Erlöse Pflege (inkl. erhöhten Pflege-Entgeltwert ab 01.04.2020)</t>
  </si>
  <si>
    <t>COVID-19 - Jahresbetrachtung 2020 (HINWEIS: In Quartalsbetrachtung jeweils bereits enthalten)</t>
  </si>
  <si>
    <t>DAVON: COVID-19 2020</t>
  </si>
  <si>
    <r>
      <t xml:space="preserve">Dieses Tool simuliert die </t>
    </r>
    <r>
      <rPr>
        <b/>
        <sz val="10"/>
        <color theme="4"/>
        <rFont val="Avenir Next LT Pro"/>
        <family val="2"/>
      </rPr>
      <t>DRG-bezogenen Effekte</t>
    </r>
    <r>
      <rPr>
        <sz val="10"/>
        <color theme="1"/>
        <rFont val="Avenir Next LT Pro"/>
        <family val="2"/>
      </rPr>
      <t xml:space="preserve"> durch die Corona Pandemie. </t>
    </r>
    <r>
      <rPr>
        <b/>
        <sz val="10"/>
        <color theme="4"/>
        <rFont val="Avenir Next LT Pro"/>
        <family val="2"/>
      </rPr>
      <t>Zentrale Steuerungsgröße</t>
    </r>
    <r>
      <rPr>
        <sz val="10"/>
        <color theme="1"/>
        <rFont val="Avenir Next LT Pro"/>
        <family val="2"/>
      </rPr>
      <t xml:space="preserve"> ist die tatsächliche </t>
    </r>
    <r>
      <rPr>
        <b/>
        <sz val="10"/>
        <color theme="4"/>
        <rFont val="Avenir Next LT Pro"/>
        <family val="2"/>
      </rPr>
      <t>Auslastung des Krankenhauses</t>
    </r>
    <r>
      <rPr>
        <sz val="10"/>
        <rFont val="Avenir Next LT Pro"/>
        <family val="2"/>
      </rPr>
      <t>.</t>
    </r>
    <r>
      <rPr>
        <sz val="10"/>
        <color theme="1"/>
        <rFont val="Avenir Next LT Pro"/>
        <family val="2"/>
      </rPr>
      <t xml:space="preserve">
Der Fokus liegt auf der </t>
    </r>
    <r>
      <rPr>
        <b/>
        <sz val="10"/>
        <color theme="4"/>
        <rFont val="Avenir Next LT Pro"/>
        <family val="2"/>
      </rPr>
      <t>DRG- und Pflegeentgeltbezogenen Kalkulationen</t>
    </r>
    <r>
      <rPr>
        <sz val="10"/>
        <color theme="1"/>
        <rFont val="Avenir Next LT Pro"/>
        <family val="2"/>
      </rPr>
      <t xml:space="preserve">. Um die Wirksamkeit der gesetzgeberischen Maßnahmen zu evaluieren, machen alle anderen Erlöse (Wahlleistungen, ambulant, etc.) wahrscheinlich keinen signifikanten Effekt aus und wurden deshalb zur Vereinfachung hier nicht berücksichtigt. 
Die </t>
    </r>
    <r>
      <rPr>
        <b/>
        <sz val="10"/>
        <color theme="4"/>
        <rFont val="Avenir Next LT Pro"/>
        <family val="2"/>
      </rPr>
      <t>Auslastung</t>
    </r>
    <r>
      <rPr>
        <sz val="10"/>
        <color theme="1"/>
        <rFont val="Avenir Next LT Pro"/>
        <family val="2"/>
      </rPr>
      <t xml:space="preserve"> kann in</t>
    </r>
    <r>
      <rPr>
        <b/>
        <sz val="10"/>
        <color theme="4"/>
        <rFont val="Avenir Next LT Pro"/>
        <family val="2"/>
      </rPr>
      <t xml:space="preserve"> verschiedenen Zeiträumen</t>
    </r>
    <r>
      <rPr>
        <sz val="10"/>
        <color theme="1"/>
        <rFont val="Avenir Next LT Pro"/>
        <family val="2"/>
      </rPr>
      <t xml:space="preserve"> basierend auf Schätzungen oder IST-Daten angepasst werden. Die Auslastung im Q1 errechnet sich aus den tatsächlichen Fallzahlen in diesem Zeitraum, die Auslastung im Q2 bis Q4 ist als Eingabefeld hinterlegt. Alle Berechnungen erfolgen dementsprechend basierend auf den </t>
    </r>
    <r>
      <rPr>
        <b/>
        <sz val="10"/>
        <color theme="4"/>
        <rFont val="Avenir Next LT Pro"/>
        <family val="2"/>
      </rPr>
      <t>verwendeten Rechengrößen automatisch</t>
    </r>
    <r>
      <rPr>
        <sz val="10"/>
        <color theme="1"/>
        <rFont val="Avenir Next LT Pro"/>
        <family val="2"/>
      </rPr>
      <t xml:space="preserve">. Bei Bedarf kann jedoch die </t>
    </r>
    <r>
      <rPr>
        <b/>
        <sz val="10"/>
        <color theme="4"/>
        <rFont val="Avenir Next LT Pro"/>
        <family val="2"/>
      </rPr>
      <t>mittlere Verweildauer</t>
    </r>
    <r>
      <rPr>
        <sz val="10"/>
        <color theme="1"/>
        <rFont val="Avenir Next LT Pro"/>
        <family val="2"/>
      </rPr>
      <t xml:space="preserve">, der </t>
    </r>
    <r>
      <rPr>
        <b/>
        <sz val="10"/>
        <color theme="4"/>
        <rFont val="Avenir Next LT Pro"/>
        <family val="2"/>
      </rPr>
      <t>Casemix-Index</t>
    </r>
    <r>
      <rPr>
        <sz val="10"/>
        <color theme="1"/>
        <rFont val="Avenir Next LT Pro"/>
        <family val="2"/>
      </rPr>
      <t xml:space="preserve"> (CMI) sowie die </t>
    </r>
    <r>
      <rPr>
        <b/>
        <sz val="10"/>
        <color theme="4"/>
        <rFont val="Avenir Next LT Pro"/>
        <family val="2"/>
      </rPr>
      <t>Mittlere Pflegeerlösbewertungsrelation pro Tag</t>
    </r>
    <r>
      <rPr>
        <sz val="10"/>
        <color theme="1"/>
        <rFont val="Avenir Next LT Pro"/>
        <family val="2"/>
      </rPr>
      <t xml:space="preserve"> (PMI/d) auf Basis der krankenhausindividuellen </t>
    </r>
    <r>
      <rPr>
        <b/>
        <sz val="10"/>
        <color theme="4"/>
        <rFont val="Avenir Next LT Pro"/>
        <family val="2"/>
      </rPr>
      <t>PLAN-Werte</t>
    </r>
    <r>
      <rPr>
        <sz val="10"/>
        <color theme="1"/>
        <rFont val="Avenir Next LT Pro"/>
        <family val="2"/>
      </rPr>
      <t xml:space="preserve"> angepasst werden. Sofern der </t>
    </r>
    <r>
      <rPr>
        <b/>
        <sz val="10"/>
        <color theme="4"/>
        <rFont val="Avenir Next LT Pro"/>
        <family val="2"/>
      </rPr>
      <t xml:space="preserve">PMI/Tag nicht vorliegt </t>
    </r>
    <r>
      <rPr>
        <sz val="10"/>
        <color theme="1"/>
        <rFont val="Avenir Next LT Pro"/>
        <family val="2"/>
      </rPr>
      <t xml:space="preserve">kann der Bundesdurchschnitt von </t>
    </r>
    <r>
      <rPr>
        <b/>
        <sz val="10"/>
        <color theme="4"/>
        <rFont val="Avenir Next LT Pro"/>
        <family val="2"/>
      </rPr>
      <t>1,0</t>
    </r>
    <r>
      <rPr>
        <sz val="10"/>
        <color theme="1"/>
        <rFont val="Avenir Next LT Pro"/>
        <family val="2"/>
      </rPr>
      <t xml:space="preserve"> als Anhaltswert verwendet werden. </t>
    </r>
    <r>
      <rPr>
        <b/>
        <sz val="10"/>
        <color rgb="FF002060"/>
        <rFont val="Avenir Next LT Pro"/>
        <family val="2"/>
      </rPr>
      <t>Zusätzlich</t>
    </r>
    <r>
      <rPr>
        <sz val="10"/>
        <color theme="1"/>
        <rFont val="Avenir Next LT Pro"/>
        <family val="2"/>
      </rPr>
      <t xml:space="preserve"> können die </t>
    </r>
    <r>
      <rPr>
        <b/>
        <sz val="10"/>
        <color rgb="FF002060"/>
        <rFont val="Avenir Next LT Pro"/>
        <family val="2"/>
      </rPr>
      <t>Effekte der Behandlung von COVID-19 Fällen</t>
    </r>
    <r>
      <rPr>
        <sz val="10"/>
        <color theme="1"/>
        <rFont val="Avenir Next LT Pro"/>
        <family val="2"/>
      </rPr>
      <t xml:space="preserve"> mit simuliert werden.
Zur Nutzung des Tools muss der Anwender im Tabellenblatt "</t>
    </r>
    <r>
      <rPr>
        <b/>
        <sz val="10"/>
        <color theme="4"/>
        <rFont val="Avenir Next LT Pro"/>
        <family val="2"/>
      </rPr>
      <t>Basisdaten und PLAN 2020</t>
    </r>
    <r>
      <rPr>
        <sz val="10"/>
        <color theme="1"/>
        <rFont val="Avenir Next LT Pro"/>
        <family val="2"/>
      </rPr>
      <t>" sowie im Tabellenblatt "</t>
    </r>
    <r>
      <rPr>
        <b/>
        <sz val="10"/>
        <color theme="4"/>
        <rFont val="Avenir Next LT Pro"/>
        <family val="2"/>
      </rPr>
      <t>COVID-19 Fälle und DRG</t>
    </r>
    <r>
      <rPr>
        <sz val="10"/>
        <color theme="1"/>
        <rFont val="Avenir Next LT Pro"/>
        <family val="2"/>
      </rPr>
      <t xml:space="preserve">" die gelb markierten </t>
    </r>
    <r>
      <rPr>
        <b/>
        <sz val="10"/>
        <color theme="4"/>
        <rFont val="Avenir Next LT Pro"/>
        <family val="2"/>
      </rPr>
      <t>Eingabefelder</t>
    </r>
    <r>
      <rPr>
        <sz val="10"/>
        <color theme="1"/>
        <rFont val="Avenir Next LT Pro"/>
        <family val="2"/>
      </rPr>
      <t xml:space="preserve"> mit den </t>
    </r>
    <r>
      <rPr>
        <b/>
        <sz val="10"/>
        <color theme="4"/>
        <rFont val="Avenir Next LT Pro"/>
        <family val="2"/>
      </rPr>
      <t>krankenhausindividuellen Daten</t>
    </r>
    <r>
      <rPr>
        <sz val="10"/>
        <color theme="1"/>
        <rFont val="Avenir Next LT Pro"/>
        <family val="2"/>
      </rPr>
      <t xml:space="preserve"> ausfüllen. Nachdem die </t>
    </r>
    <r>
      <rPr>
        <b/>
        <sz val="10"/>
        <color rgb="FF002060"/>
        <rFont val="Avenir Next LT Pro"/>
        <family val="2"/>
      </rPr>
      <t>DRGs für COVID-19</t>
    </r>
    <r>
      <rPr>
        <sz val="10"/>
        <color theme="1"/>
        <rFont val="Avenir Next LT Pro"/>
        <family val="2"/>
      </rPr>
      <t xml:space="preserve"> stark streuen, haben die Autoren aus verfügbaren Daten Ergebnisse </t>
    </r>
    <r>
      <rPr>
        <b/>
        <sz val="10"/>
        <color rgb="FF002060"/>
        <rFont val="Avenir Next LT Pro"/>
        <family val="2"/>
      </rPr>
      <t>für repräsentativen Fallkonstellationen</t>
    </r>
    <r>
      <rPr>
        <sz val="10"/>
        <color theme="1"/>
        <rFont val="Avenir Next LT Pro"/>
        <family val="2"/>
      </rPr>
      <t xml:space="preserve"> ermittelt. Anwender können die Verweildauer und das ZE für ECMO variieren sowie die Verteilung Normalstation/Intensiv/Intensiv mit Beatmung sowie ECMO. Über alle COVID-19-Patienten wird diese Verteilung dann angewendet.
Im Tabellenblatt "</t>
    </r>
    <r>
      <rPr>
        <b/>
        <sz val="10"/>
        <color theme="4"/>
        <rFont val="Avenir Next LT Pro"/>
        <family val="2"/>
      </rPr>
      <t>Jahresfallverteilung</t>
    </r>
    <r>
      <rPr>
        <sz val="10"/>
        <color theme="1"/>
        <rFont val="Avenir Next LT Pro"/>
        <family val="2"/>
      </rPr>
      <t>" können monatliche Verteilungen (z.B. aus 2019) eingetragen werden, um die Genauigkeit der Schätzung zu erhöhen.
Im Tabellenblatt "</t>
    </r>
    <r>
      <rPr>
        <b/>
        <sz val="10"/>
        <color theme="4"/>
        <rFont val="Avenir Next LT Pro"/>
        <family val="2"/>
      </rPr>
      <t>Erlöseffekte</t>
    </r>
    <r>
      <rPr>
        <sz val="10"/>
        <color theme="1"/>
        <rFont val="Avenir Next LT Pro"/>
        <family val="2"/>
      </rPr>
      <t xml:space="preserve">" können nun für </t>
    </r>
    <r>
      <rPr>
        <b/>
        <sz val="10"/>
        <color theme="4"/>
        <rFont val="Avenir Next LT Pro"/>
        <family val="2"/>
      </rPr>
      <t>verschiedene Zeiträume</t>
    </r>
    <r>
      <rPr>
        <sz val="10"/>
        <color theme="1"/>
        <rFont val="Avenir Next LT Pro"/>
        <family val="2"/>
      </rPr>
      <t xml:space="preserve"> sowohl die </t>
    </r>
    <r>
      <rPr>
        <b/>
        <sz val="10"/>
        <color theme="4"/>
        <rFont val="Avenir Next LT Pro"/>
        <family val="2"/>
      </rPr>
      <t>Auslastung</t>
    </r>
    <r>
      <rPr>
        <sz val="10"/>
        <color theme="1"/>
        <rFont val="Avenir Next LT Pro"/>
        <family val="2"/>
      </rPr>
      <t xml:space="preserve">, der </t>
    </r>
    <r>
      <rPr>
        <b/>
        <sz val="10"/>
        <color theme="4"/>
        <rFont val="Avenir Next LT Pro"/>
        <family val="2"/>
      </rPr>
      <t>CMI</t>
    </r>
    <r>
      <rPr>
        <sz val="10"/>
        <color theme="1"/>
        <rFont val="Avenir Next LT Pro"/>
        <family val="2"/>
      </rPr>
      <t xml:space="preserve"> und der</t>
    </r>
    <r>
      <rPr>
        <b/>
        <sz val="10"/>
        <color theme="4"/>
        <rFont val="Avenir Next LT Pro"/>
        <family val="2"/>
      </rPr>
      <t xml:space="preserve"> PMI/d</t>
    </r>
    <r>
      <rPr>
        <sz val="10"/>
        <color theme="1"/>
        <rFont val="Avenir Next LT Pro"/>
        <family val="2"/>
      </rPr>
      <t xml:space="preserve"> variiert werden. Zusätzlich wird die </t>
    </r>
    <r>
      <rPr>
        <b/>
        <sz val="10"/>
        <color rgb="FF002060"/>
        <rFont val="Avenir Next LT Pro"/>
        <family val="2"/>
      </rPr>
      <t>Zahl der</t>
    </r>
    <r>
      <rPr>
        <sz val="10"/>
        <color theme="1"/>
        <rFont val="Avenir Next LT Pro"/>
        <family val="2"/>
      </rPr>
      <t xml:space="preserve"> tatsächlichen </t>
    </r>
    <r>
      <rPr>
        <b/>
        <sz val="10"/>
        <color rgb="FF002060"/>
        <rFont val="Avenir Next LT Pro"/>
        <family val="2"/>
      </rPr>
      <t>COVID-19 Patienten</t>
    </r>
    <r>
      <rPr>
        <sz val="10"/>
        <color theme="1"/>
        <rFont val="Avenir Next LT Pro"/>
        <family val="2"/>
      </rPr>
      <t xml:space="preserve"> für jeden Zeitraum </t>
    </r>
    <r>
      <rPr>
        <b/>
        <sz val="10"/>
        <color rgb="FF002060"/>
        <rFont val="Avenir Next LT Pro"/>
        <family val="2"/>
      </rPr>
      <t>eingetragen bzw. geschätzt.</t>
    </r>
    <r>
      <rPr>
        <b/>
        <sz val="10"/>
        <rFont val="Avenir Next LT Pro"/>
        <family val="2"/>
      </rPr>
      <t xml:space="preserve"> </t>
    </r>
    <r>
      <rPr>
        <sz val="10"/>
        <color theme="1"/>
        <rFont val="Avenir Next LT Pro"/>
        <family val="2"/>
      </rPr>
      <t xml:space="preserve">Die Effekte werden direkt in einem </t>
    </r>
    <r>
      <rPr>
        <b/>
        <sz val="10"/>
        <color theme="4"/>
        <rFont val="Avenir Next LT Pro"/>
        <family val="2"/>
      </rPr>
      <t>IST vs. PLAN - Vergleich</t>
    </r>
    <r>
      <rPr>
        <sz val="10"/>
        <color theme="1"/>
        <rFont val="Avenir Next LT Pro"/>
        <family val="2"/>
      </rPr>
      <t xml:space="preserve"> dargestellt.
Aufgrund der derzeitigen Zahlungszeiträume für Ausgleiche ist die Berechnung auf </t>
    </r>
    <r>
      <rPr>
        <b/>
        <sz val="10"/>
        <color theme="4"/>
        <rFont val="Avenir Next LT Pro"/>
        <family val="2"/>
      </rPr>
      <t>Quartale</t>
    </r>
    <r>
      <rPr>
        <sz val="10"/>
        <color theme="1"/>
        <rFont val="Avenir Next LT Pro"/>
        <family val="2"/>
      </rPr>
      <t xml:space="preserve"> und in </t>
    </r>
    <r>
      <rPr>
        <b/>
        <sz val="10"/>
        <color theme="4"/>
        <rFont val="Avenir Next LT Pro"/>
        <family val="2"/>
      </rPr>
      <t>Q1</t>
    </r>
    <r>
      <rPr>
        <sz val="10"/>
        <color theme="1"/>
        <rFont val="Avenir Next LT Pro"/>
        <family val="2"/>
      </rPr>
      <t xml:space="preserve"> auf den Bereich </t>
    </r>
    <r>
      <rPr>
        <b/>
        <sz val="10"/>
        <color theme="4"/>
        <rFont val="Avenir Next LT Pro"/>
        <family val="2"/>
      </rPr>
      <t>01.01.-15.03.2020 und 16.-31.03.2020</t>
    </r>
    <r>
      <rPr>
        <sz val="10"/>
        <color theme="1"/>
        <rFont val="Avenir Next LT Pro"/>
        <family val="2"/>
      </rPr>
      <t xml:space="preserve"> aufgeteilt.
Am Ende der</t>
    </r>
    <r>
      <rPr>
        <b/>
        <sz val="10"/>
        <color theme="4"/>
        <rFont val="Avenir Next LT Pro"/>
        <family val="2"/>
      </rPr>
      <t xml:space="preserve"> quartalsbezogenen Betrachtung</t>
    </r>
    <r>
      <rPr>
        <sz val="10"/>
        <color theme="1"/>
        <rFont val="Avenir Next LT Pro"/>
        <family val="2"/>
      </rPr>
      <t xml:space="preserve"> werden die Erlöse aus der Behandlung von COVID-19 Patienten zur </t>
    </r>
    <r>
      <rPr>
        <b/>
        <sz val="10"/>
        <color theme="4"/>
        <rFont val="Avenir Next LT Pro"/>
        <family val="2"/>
      </rPr>
      <t>Jahresbetrachtung</t>
    </r>
    <r>
      <rPr>
        <sz val="10"/>
        <color theme="1"/>
        <rFont val="Avenir Next LT Pro"/>
        <family val="2"/>
      </rPr>
      <t xml:space="preserve"> dazu addiert. 
In der </t>
    </r>
    <r>
      <rPr>
        <b/>
        <sz val="10"/>
        <color theme="4"/>
        <rFont val="Avenir Next LT Pro"/>
        <family val="2"/>
      </rPr>
      <t>Gesamtbetrachtung</t>
    </r>
    <r>
      <rPr>
        <sz val="10"/>
        <color theme="1"/>
        <rFont val="Avenir Next LT Pro"/>
        <family val="2"/>
      </rPr>
      <t xml:space="preserve"> lässt sich der </t>
    </r>
    <r>
      <rPr>
        <b/>
        <sz val="10"/>
        <color theme="4"/>
        <rFont val="Avenir Next LT Pro"/>
        <family val="2"/>
      </rPr>
      <t>Erlöseffekt</t>
    </r>
    <r>
      <rPr>
        <sz val="10"/>
        <color theme="1"/>
        <rFont val="Avenir Next LT Pro"/>
        <family val="2"/>
      </rPr>
      <t xml:space="preserve"> der Corona Pandemie für das </t>
    </r>
    <r>
      <rPr>
        <b/>
        <sz val="10"/>
        <color theme="4"/>
        <rFont val="Avenir Next LT Pro"/>
        <family val="2"/>
      </rPr>
      <t>Jahr 2020</t>
    </r>
    <r>
      <rPr>
        <sz val="10"/>
        <color theme="1"/>
        <rFont val="Avenir Next LT Pro"/>
        <family val="2"/>
      </rPr>
      <t xml:space="preserve"> abschätzen.
</t>
    </r>
    <r>
      <rPr>
        <b/>
        <sz val="10"/>
        <color rgb="FF002060"/>
        <rFont val="Avenir Next LT Pro"/>
        <family val="2"/>
      </rPr>
      <t>NEU:</t>
    </r>
    <r>
      <rPr>
        <sz val="10"/>
        <color theme="1"/>
        <rFont val="Avenir Next LT Pro"/>
        <family val="2"/>
      </rPr>
      <t xml:space="preserve"> Um die </t>
    </r>
    <r>
      <rPr>
        <b/>
        <sz val="10"/>
        <color rgb="FF002060"/>
        <rFont val="Avenir Next LT Pro"/>
        <family val="2"/>
      </rPr>
      <t xml:space="preserve">Effekte </t>
    </r>
    <r>
      <rPr>
        <sz val="10"/>
        <color theme="1"/>
        <rFont val="Avenir Next LT Pro"/>
        <family val="2"/>
      </rPr>
      <t xml:space="preserve">der </t>
    </r>
    <r>
      <rPr>
        <b/>
        <sz val="10"/>
        <color rgb="FF002060"/>
        <rFont val="Avenir Next LT Pro"/>
        <family val="2"/>
      </rPr>
      <t>im Rahmen des kontrollierten Hochfahrens</t>
    </r>
    <r>
      <rPr>
        <sz val="10"/>
        <color theme="1"/>
        <rFont val="Avenir Next LT Pro"/>
        <family val="2"/>
      </rPr>
      <t xml:space="preserve"> benötigten "</t>
    </r>
    <r>
      <rPr>
        <b/>
        <sz val="10"/>
        <color rgb="FF002060"/>
        <rFont val="Avenir Next LT Pro"/>
        <family val="2"/>
      </rPr>
      <t>Reservekapazitäten"</t>
    </r>
    <r>
      <rPr>
        <sz val="10"/>
        <color theme="1"/>
        <rFont val="Avenir Next LT Pro"/>
        <family val="2"/>
      </rPr>
      <t xml:space="preserve"> für COVID-19 Patienten abschätzen zu können haben wir diese in das Blatt "</t>
    </r>
    <r>
      <rPr>
        <b/>
        <sz val="10"/>
        <color rgb="FF002060"/>
        <rFont val="Avenir Next LT Pro"/>
        <family val="2"/>
      </rPr>
      <t>Basisdaten und PLAN 2020</t>
    </r>
    <r>
      <rPr>
        <sz val="10"/>
        <color theme="1"/>
        <rFont val="Avenir Next LT Pro"/>
        <family val="2"/>
      </rPr>
      <t xml:space="preserve">" </t>
    </r>
    <r>
      <rPr>
        <b/>
        <sz val="10"/>
        <color rgb="FF002060"/>
        <rFont val="Avenir Next LT Pro"/>
        <family val="2"/>
      </rPr>
      <t>mit aufgenommen</t>
    </r>
    <r>
      <rPr>
        <sz val="10"/>
        <color theme="1"/>
        <rFont val="Avenir Next LT Pro"/>
        <family val="2"/>
      </rPr>
      <t xml:space="preserve">. die annahme: Die usrsprünglich geplante Auslastung (z.B. 85%) spiegelt das - mit dem verfügbaren Personal - erreichbare Maximum wieder. Somit werden die Vorhaltungen darauf bezogen.  </t>
    </r>
    <r>
      <rPr>
        <b/>
        <sz val="10"/>
        <color rgb="FF002060"/>
        <rFont val="Avenir Next LT Pro"/>
        <family val="2"/>
      </rPr>
      <t xml:space="preserve">Die Kapazität nach Abzug der Reserve wird </t>
    </r>
    <r>
      <rPr>
        <sz val="10"/>
        <color theme="1"/>
        <rFont val="Avenir Next LT Pro"/>
        <family val="2"/>
      </rPr>
      <t xml:space="preserve">dann in Q2/Q3 und Q4 </t>
    </r>
    <r>
      <rPr>
        <b/>
        <sz val="10"/>
        <color rgb="FF002060"/>
        <rFont val="Avenir Next LT Pro"/>
        <family val="2"/>
      </rPr>
      <t>auf dem Blatt "Erlöseffekte" mit angezeigt.</t>
    </r>
    <r>
      <rPr>
        <sz val="10"/>
        <color theme="1"/>
        <rFont val="Avenir Next LT Pro"/>
        <family val="2"/>
      </rPr>
      <t xml:space="preserve"> 
Die</t>
    </r>
    <r>
      <rPr>
        <b/>
        <sz val="10"/>
        <color rgb="FF002060"/>
        <rFont val="Avenir Next LT Pro"/>
        <family val="2"/>
      </rPr>
      <t xml:space="preserve"> Erlöse 2020 </t>
    </r>
    <r>
      <rPr>
        <sz val="10"/>
        <color theme="1"/>
        <rFont val="Avenir Next LT Pro"/>
        <family val="2"/>
      </rPr>
      <t xml:space="preserve">können jetzt auch </t>
    </r>
    <r>
      <rPr>
        <b/>
        <sz val="10"/>
        <color rgb="FF002060"/>
        <rFont val="Avenir Next LT Pro"/>
        <family val="2"/>
      </rPr>
      <t>nach Erlösarten</t>
    </r>
    <r>
      <rPr>
        <sz val="10"/>
        <color theme="1"/>
        <rFont val="Avenir Next LT Pro"/>
        <family val="2"/>
      </rPr>
      <t xml:space="preserve"> betrachtet werden, so sieht man sofort, wie die </t>
    </r>
    <r>
      <rPr>
        <b/>
        <sz val="10"/>
        <color rgb="FF002060"/>
        <rFont val="Avenir Next LT Pro"/>
        <family val="2"/>
      </rPr>
      <t>Verluste bei DRG+ZE</t>
    </r>
    <r>
      <rPr>
        <sz val="10"/>
        <color theme="1"/>
        <rFont val="Avenir Next LT Pro"/>
        <family val="2"/>
      </rPr>
      <t xml:space="preserve"> ggf. </t>
    </r>
    <r>
      <rPr>
        <b/>
        <sz val="10"/>
        <color rgb="FF002060"/>
        <rFont val="Avenir Next LT Pro"/>
        <family val="2"/>
      </rPr>
      <t xml:space="preserve">durch höhere Pflegeentgelte und Ausgleiche für Erhöhung der Bettenkapazität sowie erhöhte PSA-Pauschalen kompensiert </t>
    </r>
    <r>
      <rPr>
        <sz val="10"/>
        <color theme="1"/>
        <rFont val="Avenir Next LT Pro"/>
        <family val="2"/>
      </rPr>
      <t>werden</t>
    </r>
  </si>
  <si>
    <t>Betrag PSA-Ausgleich / COVID-Fall</t>
  </si>
  <si>
    <t>Zuschlag Kostensteigerung PSA (derzeit bis 30.09.2020)</t>
  </si>
  <si>
    <t>01.04.2020 - 30.09.2020</t>
  </si>
  <si>
    <t>Normale Fälle: € 50.- / COVID-19 Fälle: € 100.- (01.07.-30.09.2020)</t>
  </si>
  <si>
    <r>
      <t>Das "</t>
    </r>
    <r>
      <rPr>
        <b/>
        <sz val="10"/>
        <color theme="4"/>
        <rFont val="Avenir Next LT Pro"/>
        <family val="2"/>
      </rPr>
      <t>COVID-19-Krankenhausentlastungsgesetz</t>
    </r>
    <r>
      <rPr>
        <sz val="10"/>
        <color theme="1"/>
        <rFont val="Avenir Next LT Pro"/>
        <family val="2"/>
      </rPr>
      <t xml:space="preserve">" soll zur finanziellen und wirtschaftlichen Entlastung der Krankenhäuser führen.
Eine Reihe von </t>
    </r>
    <r>
      <rPr>
        <b/>
        <sz val="10"/>
        <color theme="4"/>
        <rFont val="Avenir Next LT Pro"/>
        <family val="2"/>
      </rPr>
      <t>Maßnahmen</t>
    </r>
    <r>
      <rPr>
        <sz val="10"/>
        <color theme="1"/>
        <rFont val="Avenir Next LT Pro"/>
        <family val="2"/>
      </rPr>
      <t xml:space="preserve"> wurden beschlossen, um die Krankenhäuser bei der </t>
    </r>
    <r>
      <rPr>
        <b/>
        <sz val="10"/>
        <color theme="4"/>
        <rFont val="Avenir Next LT Pro"/>
        <family val="2"/>
      </rPr>
      <t>Aufgabe</t>
    </r>
    <r>
      <rPr>
        <sz val="10"/>
        <color theme="1"/>
        <rFont val="Avenir Next LT Pro"/>
        <family val="2"/>
      </rPr>
      <t xml:space="preserve">, die durch SARS CoV2 ausgelöste Pandemie hervorgerufen wurde, zu bekämpfen. Insbesondere </t>
    </r>
    <r>
      <rPr>
        <b/>
        <sz val="10"/>
        <color theme="4"/>
        <rFont val="Avenir Next LT Pro"/>
        <family val="2"/>
      </rPr>
      <t>Ausgleichszahlungen</t>
    </r>
    <r>
      <rPr>
        <sz val="10"/>
        <color theme="1"/>
        <rFont val="Avenir Next LT Pro"/>
        <family val="2"/>
      </rPr>
      <t xml:space="preserve"> für </t>
    </r>
    <r>
      <rPr>
        <b/>
        <sz val="10"/>
        <color theme="4"/>
        <rFont val="Avenir Next LT Pro"/>
        <family val="2"/>
      </rPr>
      <t>freigehaltene Betten</t>
    </r>
    <r>
      <rPr>
        <sz val="10"/>
        <color theme="1"/>
        <rFont val="Avenir Next LT Pro"/>
        <family val="2"/>
      </rPr>
      <t xml:space="preserve">, die Erhöhung des </t>
    </r>
    <r>
      <rPr>
        <b/>
        <sz val="10"/>
        <color theme="4"/>
        <rFont val="Avenir Next LT Pro"/>
        <family val="2"/>
      </rPr>
      <t>Pflegeentgeltwerts</t>
    </r>
    <r>
      <rPr>
        <sz val="10"/>
        <color theme="1"/>
        <rFont val="Avenir Next LT Pro"/>
        <family val="2"/>
      </rPr>
      <t xml:space="preserve"> sowie eine </t>
    </r>
    <r>
      <rPr>
        <b/>
        <sz val="10"/>
        <color theme="4"/>
        <rFont val="Avenir Next LT Pro"/>
        <family val="2"/>
      </rPr>
      <t>Pauschale</t>
    </r>
    <r>
      <rPr>
        <sz val="10"/>
        <color theme="1"/>
        <rFont val="Avenir Next LT Pro"/>
        <family val="2"/>
      </rPr>
      <t xml:space="preserve"> für die </t>
    </r>
    <r>
      <rPr>
        <b/>
        <sz val="10"/>
        <color theme="4"/>
        <rFont val="Avenir Next LT Pro"/>
        <family val="2"/>
      </rPr>
      <t>persönliche Schutzausrüstung</t>
    </r>
    <r>
      <rPr>
        <sz val="10"/>
        <color theme="1"/>
        <rFont val="Avenir Next LT Pro"/>
        <family val="2"/>
      </rPr>
      <t xml:space="preserve"> sollen zusätzliche Erlöse bringen.
Demgegenüber stehen die </t>
    </r>
    <r>
      <rPr>
        <b/>
        <sz val="10"/>
        <color theme="4"/>
        <rFont val="Avenir Next LT Pro"/>
        <family val="2"/>
      </rPr>
      <t>Verordnungen der Bundesländer</t>
    </r>
    <r>
      <rPr>
        <sz val="10"/>
        <color theme="1"/>
        <rFont val="Avenir Next LT Pro"/>
        <family val="2"/>
      </rPr>
      <t>, auf planbare Eingriffe zu verzichten sowie andere Effekte (z.B. weniger Einweisungen durch geschlossene Hausarztpraxen, Patienten, die aus Angst vor Infektionen nicht ins Krankenhaus gehen).
Ganz genau wird man erst in</t>
    </r>
    <r>
      <rPr>
        <b/>
        <sz val="10"/>
        <color theme="4"/>
        <rFont val="Avenir Next LT Pro"/>
        <family val="2"/>
      </rPr>
      <t xml:space="preserve"> 2021</t>
    </r>
    <r>
      <rPr>
        <sz val="10"/>
        <color theme="1"/>
        <rFont val="Avenir Next LT Pro"/>
        <family val="2"/>
      </rPr>
      <t xml:space="preserve"> messen können, welche konkreten </t>
    </r>
    <r>
      <rPr>
        <b/>
        <sz val="10"/>
        <color theme="4"/>
        <rFont val="Avenir Next LT Pro"/>
        <family val="2"/>
      </rPr>
      <t>finanziellen Effekte</t>
    </r>
    <r>
      <rPr>
        <sz val="10"/>
        <color theme="1"/>
        <rFont val="Avenir Next LT Pro"/>
        <family val="2"/>
      </rPr>
      <t xml:space="preserve"> sich für die Deutschen Krankenhäuser ergeben. Eine Reihe von Organisationen bieten hier auch schon konkrete Rechenhilfen an, die es dem einzelnen Haus erlauben Effekte zu ermitteln. </t>
    </r>
    <r>
      <rPr>
        <b/>
        <sz val="10"/>
        <color theme="4"/>
        <rFont val="Avenir Next LT Pro"/>
        <family val="2"/>
      </rPr>
      <t>Vicondo Healthcare</t>
    </r>
    <r>
      <rPr>
        <sz val="10"/>
        <color theme="1"/>
        <rFont val="Avenir Next LT Pro"/>
        <family val="2"/>
      </rPr>
      <t xml:space="preserve"> stellt hierfür das </t>
    </r>
    <r>
      <rPr>
        <b/>
        <sz val="10"/>
        <color theme="4"/>
        <rFont val="Avenir Next LT Pro"/>
        <family val="2"/>
      </rPr>
      <t xml:space="preserve">Erlös-Impakt Tool </t>
    </r>
    <r>
      <rPr>
        <sz val="10"/>
        <color theme="1"/>
        <rFont val="Avenir Next LT Pro"/>
        <family val="2"/>
      </rPr>
      <t xml:space="preserve">bereit (https://www.vicondo-healthcare.de/).
Neben der Ermittlung der </t>
    </r>
    <r>
      <rPr>
        <sz val="10"/>
        <color theme="4"/>
        <rFont val="Avenir Next LT Pro"/>
        <family val="2"/>
      </rPr>
      <t>konkreten Effekte</t>
    </r>
    <r>
      <rPr>
        <sz val="10"/>
        <color theme="1"/>
        <rFont val="Avenir Next LT Pro"/>
        <family val="2"/>
      </rPr>
      <t xml:space="preserve"> haben wir mit dem vorliegenden Werkzeug versucht ein </t>
    </r>
    <r>
      <rPr>
        <b/>
        <sz val="10"/>
        <color theme="4"/>
        <rFont val="Avenir Next LT Pro"/>
        <family val="2"/>
      </rPr>
      <t>Tool</t>
    </r>
    <r>
      <rPr>
        <sz val="10"/>
        <color theme="1"/>
        <rFont val="Avenir Next LT Pro"/>
        <family val="2"/>
      </rPr>
      <t xml:space="preserve"> zu erstellen, das mit </t>
    </r>
    <r>
      <rPr>
        <b/>
        <sz val="10"/>
        <color theme="4"/>
        <rFont val="Avenir Next LT Pro"/>
        <family val="2"/>
      </rPr>
      <t>sehr wenigen Eingaben</t>
    </r>
    <r>
      <rPr>
        <sz val="10"/>
        <color theme="1"/>
        <rFont val="Avenir Next LT Pro"/>
        <family val="2"/>
      </rPr>
      <t xml:space="preserve"> eine Abschätzung erlaubt, wie gut die bisherigen </t>
    </r>
    <r>
      <rPr>
        <b/>
        <sz val="10"/>
        <color theme="4"/>
        <rFont val="Avenir Next LT Pro"/>
        <family val="2"/>
      </rPr>
      <t>Maßnahmen des Gesetzgebers</t>
    </r>
    <r>
      <rPr>
        <sz val="10"/>
        <color theme="1"/>
        <rFont val="Avenir Next LT Pro"/>
        <family val="2"/>
      </rPr>
      <t xml:space="preserve"> geeignet sind, um </t>
    </r>
    <r>
      <rPr>
        <b/>
        <sz val="10"/>
        <color theme="4"/>
        <rFont val="Avenir Next LT Pro"/>
        <family val="2"/>
      </rPr>
      <t>Erlöseinbußen abzupuffern</t>
    </r>
    <r>
      <rPr>
        <sz val="10"/>
        <color theme="1"/>
        <rFont val="Avenir Next LT Pro"/>
        <family val="2"/>
      </rPr>
      <t xml:space="preserve"> und wo ggf. zeitnah nachgebessert werden sollte. Nachdem derzeit alle Akteure "auf Sicht" fahren, denken wir, dass wir mit dem Werkzeug einen Beitrag zum sachbezogenen Dialog über das COVID-19 KHEntlG leisten können. Wir danken den Studierenden des Masterstudiengangs Krankenhausmanagement an der Medical School Hamburg (MSH) für Ihre tatkräftige Mitarbeit.
</t>
    </r>
    <r>
      <rPr>
        <b/>
        <sz val="10"/>
        <color rgb="FF002060"/>
        <rFont val="Avenir Next LT Pro"/>
        <family val="2"/>
      </rPr>
      <t xml:space="preserve">NEU: </t>
    </r>
    <r>
      <rPr>
        <sz val="10"/>
        <color theme="1"/>
        <rFont val="Avenir Next LT Pro"/>
        <family val="2"/>
      </rPr>
      <t xml:space="preserve">Einige </t>
    </r>
    <r>
      <rPr>
        <b/>
        <sz val="10"/>
        <color rgb="FF002060"/>
        <rFont val="Avenir Next LT Pro"/>
        <family val="2"/>
      </rPr>
      <t xml:space="preserve">Änderungen </t>
    </r>
    <r>
      <rPr>
        <sz val="10"/>
        <color theme="1"/>
        <rFont val="Avenir Next LT Pro"/>
        <family val="2"/>
      </rPr>
      <t xml:space="preserve">wurden umgesetzt, vor allem können jetzt </t>
    </r>
    <r>
      <rPr>
        <b/>
        <sz val="10"/>
        <color rgb="FF002060"/>
        <rFont val="Avenir Next LT Pro"/>
        <family val="2"/>
      </rPr>
      <t>Reservekapazitäten und deren Effekte</t>
    </r>
    <r>
      <rPr>
        <sz val="10"/>
        <color theme="1"/>
        <rFont val="Avenir Next LT Pro"/>
        <family val="2"/>
      </rPr>
      <t xml:space="preserve"> simuliert werden. Details siehe Blatt "</t>
    </r>
    <r>
      <rPr>
        <b/>
        <sz val="10"/>
        <color rgb="FF002060"/>
        <rFont val="Avenir Next LT Pro"/>
        <family val="2"/>
      </rPr>
      <t>Erläuterungen zum Tool</t>
    </r>
    <r>
      <rPr>
        <sz val="10"/>
        <color theme="1"/>
        <rFont val="Avenir Next LT Pro"/>
        <family val="2"/>
      </rPr>
      <t xml:space="preserve">". Außerdem kann die </t>
    </r>
    <r>
      <rPr>
        <b/>
        <sz val="10"/>
        <color rgb="FF002060"/>
        <rFont val="Avenir Next LT Pro"/>
        <family val="2"/>
      </rPr>
      <t>Jahressumme</t>
    </r>
    <r>
      <rPr>
        <sz val="10"/>
        <color theme="1"/>
        <rFont val="Avenir Next LT Pro"/>
        <family val="2"/>
      </rPr>
      <t xml:space="preserve"> nun </t>
    </r>
    <r>
      <rPr>
        <b/>
        <sz val="10"/>
        <color rgb="FF002060"/>
        <rFont val="Avenir Next LT Pro"/>
        <family val="2"/>
      </rPr>
      <t>nach</t>
    </r>
    <r>
      <rPr>
        <sz val="10"/>
        <color theme="1"/>
        <rFont val="Avenir Next LT Pro"/>
        <family val="2"/>
      </rPr>
      <t xml:space="preserve"> den </t>
    </r>
    <r>
      <rPr>
        <b/>
        <sz val="10"/>
        <color rgb="FF002060"/>
        <rFont val="Avenir Next LT Pro"/>
        <family val="2"/>
      </rPr>
      <t>Entgeltarten aufgeschlüsselt</t>
    </r>
    <r>
      <rPr>
        <sz val="10"/>
        <color theme="1"/>
        <rFont val="Avenir Next LT Pro"/>
        <family val="2"/>
      </rPr>
      <t xml:space="preserve"> analysiert werden. Zum 01.07. in Kraft getretene Änderungen in den Entgelten sind berücksichtigt.
Wir freuen uns über eine breite Anwendung und über Rückmeldungen.</t>
    </r>
  </si>
  <si>
    <t>Version 3.0
29.06.2020
Letzte Änderung: Wilke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</si>
</sst>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43" formatCode="_-* #,##0.00_-;\-* #,##0.00_-;_-* &quot;-&quot;??_-;_-@_-"/>
    <numFmt numFmtId="164" formatCode="0.0%"/>
    <numFmt numFmtId="165" formatCode="#,##0.00\ &quot;€&quot;"/>
    <numFmt numFmtId="166" formatCode="#,##0_ ;\-#,##0\ "/>
    <numFmt numFmtId="167" formatCode="#,##0.0"/>
    <numFmt numFmtId="168" formatCode="#,##0.000"/>
    <numFmt numFmtId="169" formatCode="#,##0.0000"/>
    <numFmt numFmtId="170" formatCode="0.000"/>
    <numFmt numFmtId="171" formatCode="0.0000"/>
    <numFmt numFmtId="172" formatCode="#,##0.000_ ;\-#,##0.000\ "/>
    <numFmt numFmtId="173" formatCode="#,##0.0000_ ;\-#,##0.0000\ "/>
    <numFmt numFmtId="174" formatCode="_-* #,##0.000\ &quot;€&quot;_-;\-* #,##0.000\ &quot;€&quot;_-;_-* &quot;-&quot;???\ &quot;€&quot;_-;_-@_-"/>
    <numFmt numFmtId="175" formatCode="_-* #,##0.000_-;\-* #,##0.000_-;_-* &quot;-&quot;??_-;_-@_-"/>
    <numFmt numFmtId="176" formatCode="#,##0\ &quot;€&quot;"/>
    <numFmt numFmtId="177" formatCode="0.0"/>
  </numFmts>
  <fonts count="5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rgb="FF3F3F76"/>
      <name val="Calibri"/>
      <family val="2"/>
      <scheme val="minor"/>
    </font>
    <font>
      <sz val="9"/>
      <color indexed="81"/>
      <name val="Segoe UI"/>
      <family val="2"/>
    </font>
    <font>
      <b/>
      <sz val="9"/>
      <color indexed="81"/>
      <name val="Segoe UI"/>
      <family val="2"/>
    </font>
    <font>
      <b/>
      <sz val="11"/>
      <color rgb="FF3F3F3F"/>
      <name val="Calibri"/>
      <family val="2"/>
      <scheme val="minor"/>
    </font>
    <font>
      <b/>
      <sz val="11"/>
      <color rgb="FFFA7D00"/>
      <name val="Calibri"/>
      <family val="2"/>
      <scheme val="minor"/>
    </font>
    <font>
      <sz val="11"/>
      <color theme="1"/>
      <name val="Avenir Next LT Pro"/>
      <family val="2"/>
    </font>
    <font>
      <sz val="10"/>
      <color theme="1"/>
      <name val="Avenir Next LT Pro"/>
      <family val="2"/>
    </font>
    <font>
      <b/>
      <sz val="11"/>
      <color theme="0"/>
      <name val="Avenir Next LT Pro"/>
      <family val="2"/>
    </font>
    <font>
      <b/>
      <sz val="11"/>
      <color theme="1"/>
      <name val="Avenir Next LT Pro"/>
      <family val="2"/>
    </font>
    <font>
      <b/>
      <sz val="10"/>
      <color theme="1"/>
      <name val="Avenir Next LT Pro"/>
      <family val="2"/>
    </font>
    <font>
      <b/>
      <sz val="11"/>
      <color theme="4"/>
      <name val="Avenir Next LT Pro"/>
      <family val="2"/>
    </font>
    <font>
      <b/>
      <sz val="12"/>
      <color theme="4"/>
      <name val="Avenir Next LT Pro"/>
      <family val="2"/>
    </font>
    <font>
      <b/>
      <sz val="11"/>
      <color rgb="FFFF0000"/>
      <name val="Avenir Next LT Pro"/>
      <family val="2"/>
    </font>
    <font>
      <b/>
      <sz val="9"/>
      <color theme="1"/>
      <name val="Avenir Next LT Pro"/>
      <family val="2"/>
    </font>
    <font>
      <sz val="9"/>
      <color theme="1"/>
      <name val="Avenir Next LT Pro"/>
      <family val="2"/>
    </font>
    <font>
      <sz val="9"/>
      <name val="Avenir Next LT Pro"/>
      <family val="2"/>
    </font>
    <font>
      <b/>
      <sz val="10"/>
      <color theme="4"/>
      <name val="Avenir Next LT Pro"/>
      <family val="2"/>
    </font>
    <font>
      <b/>
      <sz val="20"/>
      <color theme="5"/>
      <name val="Avenir Next LT Pro"/>
      <family val="2"/>
    </font>
    <font>
      <sz val="10"/>
      <name val="Avenir Next LT Pro"/>
      <family val="2"/>
    </font>
    <font>
      <b/>
      <sz val="9"/>
      <color rgb="FF0070C0"/>
      <name val="Avenir Next LT Pro"/>
      <family val="2"/>
    </font>
    <font>
      <sz val="9"/>
      <color theme="2" tint="-0.749992370372631"/>
      <name val="Avenir Next LT Pro"/>
      <family val="2"/>
    </font>
    <font>
      <b/>
      <sz val="10"/>
      <name val="Avenir Next LT Pro"/>
      <family val="2"/>
    </font>
    <font>
      <b/>
      <sz val="10"/>
      <color rgb="FFFF0000"/>
      <name val="Avenir Next LT Pro"/>
      <family val="2"/>
    </font>
    <font>
      <b/>
      <sz val="9"/>
      <color theme="5"/>
      <name val="Avenir Next LT Pro"/>
      <family val="2"/>
    </font>
    <font>
      <b/>
      <sz val="9"/>
      <color theme="4"/>
      <name val="Avenir Next LT Pro"/>
      <family val="2"/>
    </font>
    <font>
      <i/>
      <sz val="9"/>
      <color theme="7"/>
      <name val="Avenir Next LT Pro"/>
      <family val="2"/>
    </font>
    <font>
      <sz val="10"/>
      <color theme="4"/>
      <name val="Avenir Next LT Pro"/>
      <family val="2"/>
    </font>
    <font>
      <sz val="11"/>
      <color rgb="FF002060"/>
      <name val="Avenir Next LT Pro"/>
      <family val="2"/>
    </font>
    <font>
      <sz val="11"/>
      <name val="Avenir Next LT Pro"/>
      <family val="2"/>
    </font>
    <font>
      <b/>
      <sz val="11"/>
      <name val="Avenir Next LT Pro"/>
      <family val="2"/>
    </font>
    <font>
      <b/>
      <sz val="11"/>
      <color rgb="FF3F3F3F"/>
      <name val="Avenir Next LT Pro"/>
      <family val="2"/>
    </font>
    <font>
      <b/>
      <sz val="10"/>
      <color rgb="FF0070C0"/>
      <name val="Avenir Next LT Pro"/>
      <family val="2"/>
    </font>
    <font>
      <b/>
      <sz val="9"/>
      <name val="Avenir Next LT Pro"/>
      <family val="2"/>
    </font>
    <font>
      <b/>
      <sz val="11"/>
      <color theme="5"/>
      <name val="Avenir Next LT Pro"/>
      <family val="2"/>
    </font>
    <font>
      <i/>
      <sz val="9"/>
      <color theme="1"/>
      <name val="Avenir Next LT Pro"/>
      <family val="2"/>
    </font>
    <font>
      <sz val="9"/>
      <color rgb="FF3F3F3F"/>
      <name val="Avenir Next LT Pro"/>
      <family val="2"/>
    </font>
    <font>
      <b/>
      <sz val="9"/>
      <color rgb="FFFA7D00"/>
      <name val="Avenir Next LT Pro"/>
      <family val="2"/>
    </font>
    <font>
      <i/>
      <sz val="9"/>
      <color rgb="FF3F3F3F"/>
      <name val="Avenir Next LT Pro"/>
      <family val="2"/>
    </font>
    <font>
      <b/>
      <i/>
      <sz val="9"/>
      <color theme="1"/>
      <name val="Avenir Next LT Pro"/>
      <family val="2"/>
    </font>
    <font>
      <b/>
      <sz val="9"/>
      <color theme="0"/>
      <name val="Avenir Next LT Pro"/>
      <family val="2"/>
    </font>
    <font>
      <b/>
      <sz val="9"/>
      <color rgb="FF3F3F3F"/>
      <name val="Avenir Next LT Pro"/>
      <family val="2"/>
    </font>
    <font>
      <b/>
      <sz val="9"/>
      <color rgb="FFFF0000"/>
      <name val="Avenir Next LT Pro"/>
      <family val="2"/>
    </font>
    <font>
      <sz val="9"/>
      <color theme="0"/>
      <name val="Avenir Next LT Pro"/>
      <family val="2"/>
    </font>
    <font>
      <b/>
      <sz val="16"/>
      <color theme="5"/>
      <name val="Avenir Next LT Pro"/>
      <family val="2"/>
    </font>
    <font>
      <sz val="11"/>
      <color theme="5"/>
      <name val="Avenir Next LT Pro"/>
      <family val="2"/>
    </font>
    <font>
      <b/>
      <sz val="10"/>
      <color theme="0"/>
      <name val="Avenir Next LT Pro"/>
      <family val="2"/>
    </font>
    <font>
      <sz val="11"/>
      <color theme="0"/>
      <name val="Avenir Next LT Pro"/>
      <family val="2"/>
    </font>
    <font>
      <u/>
      <sz val="11"/>
      <color theme="10"/>
      <name val="Calibri"/>
      <family val="2"/>
      <scheme val="minor"/>
    </font>
    <font>
      <u/>
      <sz val="10"/>
      <color theme="10"/>
      <name val="Avenir Next LT Pro"/>
      <family val="2"/>
    </font>
    <font>
      <b/>
      <sz val="10"/>
      <color rgb="FF002060"/>
      <name val="Avenir Next LT Pro"/>
      <family val="2"/>
    </font>
    <font>
      <b/>
      <i/>
      <sz val="11"/>
      <color theme="0"/>
      <name val="Avenir Next LT Pro"/>
      <family val="2"/>
    </font>
    <font>
      <b/>
      <i/>
      <sz val="11"/>
      <color theme="1"/>
      <name val="Avenir Next LT Pro"/>
      <family val="2"/>
    </font>
    <font>
      <sz val="10"/>
      <color rgb="FF0070C0"/>
      <name val="Avenir Next LT Pro"/>
      <family val="2"/>
    </font>
  </fonts>
  <fills count="15">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rgb="FFF2F2F2"/>
      </patternFill>
    </fill>
    <fill>
      <patternFill patternType="solid">
        <fgColor theme="0"/>
        <bgColor indexed="64"/>
      </patternFill>
    </fill>
    <fill>
      <patternFill patternType="solid">
        <fgColor theme="5"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rgb="FF7F7F7F"/>
      </right>
      <top style="thin">
        <color rgb="FF7F7F7F"/>
      </top>
      <bottom style="thin">
        <color rgb="FF7F7F7F"/>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3F3F3F"/>
      </left>
      <right style="thin">
        <color rgb="FF3F3F3F"/>
      </right>
      <top/>
      <bottom style="thin">
        <color rgb="FF3F3F3F"/>
      </bottom>
      <diagonal/>
    </border>
    <border>
      <left/>
      <right style="thin">
        <color rgb="FF7F7F7F"/>
      </right>
      <top/>
      <bottom style="thin">
        <color rgb="FF7F7F7F"/>
      </bottom>
      <diagonal/>
    </border>
    <border>
      <left/>
      <right style="thin">
        <color indexed="64"/>
      </right>
      <top/>
      <bottom/>
      <diagonal/>
    </border>
    <border>
      <left style="thin">
        <color indexed="64"/>
      </left>
      <right/>
      <top/>
      <bottom style="thin">
        <color indexed="64"/>
      </bottom>
      <diagonal/>
    </border>
    <border>
      <left style="thin">
        <color rgb="FF7F7F7F"/>
      </left>
      <right style="thin">
        <color rgb="FF7F7F7F"/>
      </right>
      <top/>
      <bottom style="thin">
        <color rgb="FF7F7F7F"/>
      </bottom>
      <diagonal/>
    </border>
    <border>
      <left style="thin">
        <color rgb="FF7F7F7F"/>
      </left>
      <right/>
      <top style="thin">
        <color rgb="FF7F7F7F"/>
      </top>
      <bottom style="thin">
        <color rgb="FF7F7F7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7F7F7F"/>
      </right>
      <top style="thin">
        <color indexed="64"/>
      </top>
      <bottom style="thin">
        <color indexed="64"/>
      </bottom>
      <diagonal/>
    </border>
    <border>
      <left/>
      <right style="thin">
        <color rgb="FF3F3F3F"/>
      </right>
      <top style="thin">
        <color rgb="FF3F3F3F"/>
      </top>
      <bottom style="thin">
        <color rgb="FF3F3F3F"/>
      </bottom>
      <diagonal/>
    </border>
    <border>
      <left style="thin">
        <color indexed="64"/>
      </left>
      <right style="thin">
        <color rgb="FF7F7F7F"/>
      </right>
      <top style="thin">
        <color indexed="64"/>
      </top>
      <bottom style="thin">
        <color indexed="64"/>
      </bottom>
      <diagonal/>
    </border>
    <border>
      <left style="thin">
        <color indexed="64"/>
      </left>
      <right/>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2" borderId="1" applyNumberFormat="0" applyAlignment="0" applyProtection="0"/>
    <xf numFmtId="0" fontId="7" fillId="4" borderId="2" applyNumberFormat="0" applyAlignment="0" applyProtection="0"/>
    <xf numFmtId="0" fontId="8" fillId="4" borderId="1" applyNumberFormat="0" applyAlignment="0" applyProtection="0"/>
    <xf numFmtId="43" fontId="1" fillId="0" borderId="0" applyFont="0" applyFill="0" applyBorder="0" applyAlignment="0" applyProtection="0"/>
    <xf numFmtId="0" fontId="51" fillId="0" borderId="0" applyNumberFormat="0" applyFill="0" applyBorder="0" applyAlignment="0" applyProtection="0"/>
  </cellStyleXfs>
  <cellXfs count="305">
    <xf numFmtId="0" fontId="0" fillId="0" borderId="0" xfId="0"/>
    <xf numFmtId="44" fontId="0" fillId="0" borderId="0" xfId="1" applyFont="1"/>
    <xf numFmtId="0" fontId="20" fillId="5" borderId="0" xfId="0" applyFont="1" applyFill="1"/>
    <xf numFmtId="0" fontId="17" fillId="5" borderId="0" xfId="0" applyFont="1" applyFill="1" applyBorder="1" applyAlignment="1">
      <alignment horizontal="center" vertical="center"/>
    </xf>
    <xf numFmtId="0" fontId="10" fillId="5" borderId="0" xfId="0" applyFont="1" applyFill="1"/>
    <xf numFmtId="0" fontId="35" fillId="5" borderId="0" xfId="0" applyFont="1" applyFill="1"/>
    <xf numFmtId="0" fontId="10" fillId="5" borderId="0" xfId="0" applyFont="1" applyFill="1" applyAlignment="1">
      <alignment wrapText="1"/>
    </xf>
    <xf numFmtId="0" fontId="2" fillId="11" borderId="0" xfId="0" applyFont="1" applyFill="1"/>
    <xf numFmtId="0" fontId="18" fillId="11" borderId="3" xfId="0" applyFont="1" applyFill="1" applyBorder="1"/>
    <xf numFmtId="0" fontId="18" fillId="11" borderId="3" xfId="0" applyFont="1" applyFill="1" applyBorder="1" applyAlignment="1">
      <alignment horizontal="center"/>
    </xf>
    <xf numFmtId="0" fontId="18" fillId="0" borderId="3" xfId="0" applyFont="1" applyFill="1" applyBorder="1"/>
    <xf numFmtId="0" fontId="18" fillId="0" borderId="3" xfId="0" applyFont="1" applyFill="1" applyBorder="1" applyAlignment="1">
      <alignment horizontal="center"/>
    </xf>
    <xf numFmtId="0" fontId="46" fillId="7" borderId="3" xfId="0" applyFont="1" applyFill="1" applyBorder="1" applyAlignment="1">
      <alignment vertical="center" wrapText="1"/>
    </xf>
    <xf numFmtId="0" fontId="46" fillId="7" borderId="3" xfId="0" applyFont="1" applyFill="1" applyBorder="1" applyAlignment="1">
      <alignment horizontal="center" vertical="center" wrapText="1"/>
    </xf>
    <xf numFmtId="0" fontId="46" fillId="7" borderId="0" xfId="0" applyFont="1" applyFill="1" applyAlignment="1">
      <alignment vertical="center" wrapText="1"/>
    </xf>
    <xf numFmtId="0" fontId="9" fillId="5" borderId="0" xfId="0" applyFont="1" applyFill="1" applyProtection="1">
      <protection hidden="1"/>
    </xf>
    <xf numFmtId="0" fontId="47" fillId="5" borderId="0" xfId="0" applyFont="1" applyFill="1" applyProtection="1">
      <protection hidden="1"/>
    </xf>
    <xf numFmtId="0" fontId="14" fillId="5" borderId="0" xfId="0" applyFont="1" applyFill="1" applyProtection="1">
      <protection hidden="1"/>
    </xf>
    <xf numFmtId="0" fontId="21" fillId="5" borderId="0" xfId="0" applyFont="1" applyFill="1" applyProtection="1">
      <protection hidden="1"/>
    </xf>
    <xf numFmtId="0" fontId="13" fillId="10" borderId="10" xfId="0" applyFont="1" applyFill="1" applyBorder="1" applyAlignment="1" applyProtection="1">
      <alignment vertical="center"/>
      <protection hidden="1"/>
    </xf>
    <xf numFmtId="0" fontId="13" fillId="10" borderId="9" xfId="0" applyFont="1" applyFill="1" applyBorder="1" applyAlignment="1" applyProtection="1">
      <alignment vertical="center"/>
      <protection hidden="1"/>
    </xf>
    <xf numFmtId="0" fontId="13" fillId="10" borderId="6" xfId="0" applyFont="1" applyFill="1" applyBorder="1" applyAlignment="1" applyProtection="1">
      <alignment vertical="center"/>
      <protection hidden="1"/>
    </xf>
    <xf numFmtId="0" fontId="13" fillId="10" borderId="6" xfId="0" applyFont="1" applyFill="1" applyBorder="1" applyAlignment="1" applyProtection="1">
      <alignment horizontal="left" vertical="center"/>
      <protection hidden="1"/>
    </xf>
    <xf numFmtId="0" fontId="18" fillId="6" borderId="9" xfId="0" applyFont="1" applyFill="1" applyBorder="1" applyAlignment="1" applyProtection="1">
      <alignment vertical="center"/>
      <protection hidden="1"/>
    </xf>
    <xf numFmtId="0" fontId="18" fillId="6" borderId="4" xfId="0" applyFont="1" applyFill="1" applyBorder="1" applyAlignment="1" applyProtection="1">
      <alignment vertical="center"/>
      <protection hidden="1"/>
    </xf>
    <xf numFmtId="0" fontId="18" fillId="6" borderId="8" xfId="0" applyFont="1" applyFill="1" applyBorder="1" applyAlignment="1" applyProtection="1">
      <alignment vertical="center"/>
      <protection hidden="1"/>
    </xf>
    <xf numFmtId="0" fontId="18" fillId="6" borderId="8" xfId="0" quotePrefix="1" applyFont="1" applyFill="1" applyBorder="1" applyAlignment="1" applyProtection="1">
      <alignment horizontal="left" vertical="center"/>
      <protection hidden="1"/>
    </xf>
    <xf numFmtId="0" fontId="18" fillId="0" borderId="4" xfId="0" applyFont="1" applyFill="1" applyBorder="1" applyAlignment="1" applyProtection="1">
      <alignment vertical="center"/>
      <protection hidden="1"/>
    </xf>
    <xf numFmtId="0" fontId="18" fillId="0" borderId="8" xfId="0" applyFont="1" applyFill="1" applyBorder="1" applyAlignment="1" applyProtection="1">
      <alignment vertical="center"/>
      <protection hidden="1"/>
    </xf>
    <xf numFmtId="0" fontId="18" fillId="0" borderId="8" xfId="0" applyFont="1" applyFill="1" applyBorder="1" applyAlignment="1" applyProtection="1">
      <alignment horizontal="left" vertical="center"/>
      <protection hidden="1"/>
    </xf>
    <xf numFmtId="0" fontId="18" fillId="6" borderId="8" xfId="0" applyFont="1" applyFill="1" applyBorder="1" applyAlignment="1" applyProtection="1">
      <alignment horizontal="left" vertical="center"/>
      <protection hidden="1"/>
    </xf>
    <xf numFmtId="0" fontId="18" fillId="6" borderId="8" xfId="0" applyFont="1" applyFill="1" applyBorder="1" applyAlignment="1" applyProtection="1">
      <alignment vertical="center" wrapText="1"/>
      <protection hidden="1"/>
    </xf>
    <xf numFmtId="0" fontId="9" fillId="5" borderId="0" xfId="0" applyFont="1" applyFill="1" applyAlignment="1" applyProtection="1">
      <alignment vertical="center"/>
      <protection hidden="1"/>
    </xf>
    <xf numFmtId="0" fontId="18" fillId="9" borderId="4" xfId="0" applyFont="1" applyFill="1" applyBorder="1" applyAlignment="1" applyProtection="1">
      <alignment vertical="center"/>
      <protection hidden="1"/>
    </xf>
    <xf numFmtId="0" fontId="18" fillId="9" borderId="8" xfId="0" applyFont="1" applyFill="1" applyBorder="1" applyAlignment="1" applyProtection="1">
      <alignment vertical="center"/>
      <protection hidden="1"/>
    </xf>
    <xf numFmtId="0" fontId="18" fillId="9" borderId="8" xfId="0" applyFont="1" applyFill="1" applyBorder="1" applyAlignment="1" applyProtection="1">
      <alignment horizontal="left" vertical="center"/>
      <protection hidden="1"/>
    </xf>
    <xf numFmtId="0" fontId="18" fillId="9" borderId="9" xfId="0" applyFont="1" applyFill="1" applyBorder="1" applyAlignment="1" applyProtection="1">
      <alignment vertical="center"/>
      <protection hidden="1"/>
    </xf>
    <xf numFmtId="0" fontId="14" fillId="5" borderId="0" xfId="0" applyFont="1" applyFill="1" applyAlignment="1" applyProtection="1">
      <alignment vertical="center"/>
      <protection hidden="1"/>
    </xf>
    <xf numFmtId="14" fontId="9" fillId="5" borderId="0" xfId="0" applyNumberFormat="1" applyFont="1" applyFill="1" applyProtection="1">
      <protection hidden="1"/>
    </xf>
    <xf numFmtId="0" fontId="15" fillId="5" borderId="0" xfId="0" applyFont="1" applyFill="1" applyProtection="1">
      <protection hidden="1"/>
    </xf>
    <xf numFmtId="3" fontId="9" fillId="5" borderId="0" xfId="0" applyNumberFormat="1" applyFont="1" applyFill="1" applyProtection="1">
      <protection hidden="1"/>
    </xf>
    <xf numFmtId="0" fontId="9" fillId="5" borderId="0" xfId="0" applyFont="1" applyFill="1" applyAlignment="1" applyProtection="1">
      <alignment wrapText="1"/>
      <protection hidden="1"/>
    </xf>
    <xf numFmtId="0" fontId="17" fillId="3" borderId="3" xfId="0" applyFont="1" applyFill="1" applyBorder="1" applyAlignment="1" applyProtection="1">
      <alignment horizontal="center" vertical="center"/>
      <protection hidden="1"/>
    </xf>
    <xf numFmtId="0" fontId="11" fillId="7" borderId="8" xfId="0" applyFont="1" applyFill="1" applyBorder="1" applyAlignment="1" applyProtection="1">
      <alignment horizontal="left" vertical="center" wrapText="1"/>
      <protection hidden="1"/>
    </xf>
    <xf numFmtId="0" fontId="11" fillId="7" borderId="5" xfId="0" applyFont="1" applyFill="1" applyBorder="1" applyAlignment="1" applyProtection="1">
      <alignment vertical="center" wrapText="1"/>
      <protection hidden="1"/>
    </xf>
    <xf numFmtId="0" fontId="11" fillId="7" borderId="5" xfId="0" applyFont="1" applyFill="1" applyBorder="1" applyAlignment="1" applyProtection="1">
      <alignment horizontal="center" vertical="center" wrapText="1"/>
      <protection hidden="1"/>
    </xf>
    <xf numFmtId="164" fontId="37" fillId="8" borderId="1" xfId="2" applyNumberFormat="1" applyFont="1" applyFill="1" applyBorder="1" applyAlignment="1" applyProtection="1">
      <alignment horizontal="center" vertical="center"/>
      <protection hidden="1"/>
    </xf>
    <xf numFmtId="0" fontId="9" fillId="5" borderId="0" xfId="0" applyFont="1" applyFill="1" applyAlignment="1" applyProtection="1">
      <alignment vertical="center" wrapText="1"/>
      <protection hidden="1"/>
    </xf>
    <xf numFmtId="3" fontId="37" fillId="8" borderId="1" xfId="5" applyNumberFormat="1" applyFont="1" applyFill="1" applyAlignment="1" applyProtection="1">
      <alignment horizontal="center" vertical="center"/>
      <protection hidden="1"/>
    </xf>
    <xf numFmtId="3" fontId="11" fillId="7" borderId="5" xfId="0" applyNumberFormat="1" applyFont="1" applyFill="1" applyBorder="1" applyAlignment="1" applyProtection="1">
      <alignment horizontal="center" vertical="center" wrapText="1"/>
      <protection hidden="1"/>
    </xf>
    <xf numFmtId="0" fontId="11" fillId="7" borderId="4" xfId="0" applyFont="1" applyFill="1" applyBorder="1" applyAlignment="1" applyProtection="1">
      <alignment vertical="center" wrapText="1"/>
      <protection hidden="1"/>
    </xf>
    <xf numFmtId="0" fontId="11" fillId="7" borderId="3" xfId="0" applyFont="1" applyFill="1" applyBorder="1" applyAlignment="1" applyProtection="1">
      <alignment horizontal="center" vertical="center" wrapText="1"/>
      <protection hidden="1"/>
    </xf>
    <xf numFmtId="0" fontId="11" fillId="10" borderId="3" xfId="0" applyFont="1" applyFill="1" applyBorder="1" applyAlignment="1" applyProtection="1">
      <alignment vertical="center" wrapText="1"/>
      <protection hidden="1"/>
    </xf>
    <xf numFmtId="0" fontId="49" fillId="10" borderId="4" xfId="0" applyFont="1" applyFill="1" applyBorder="1" applyAlignment="1" applyProtection="1">
      <alignment vertical="center"/>
      <protection hidden="1"/>
    </xf>
    <xf numFmtId="164" fontId="49" fillId="10" borderId="4" xfId="2" applyNumberFormat="1" applyFont="1" applyFill="1" applyBorder="1" applyAlignment="1" applyProtection="1">
      <alignment horizontal="center" vertical="center"/>
      <protection hidden="1"/>
    </xf>
    <xf numFmtId="3" fontId="49" fillId="10" borderId="4" xfId="0" applyNumberFormat="1" applyFont="1" applyFill="1" applyBorder="1" applyAlignment="1" applyProtection="1">
      <alignment horizontal="center" vertical="center"/>
      <protection hidden="1"/>
    </xf>
    <xf numFmtId="167" fontId="49" fillId="10" borderId="4" xfId="0" applyNumberFormat="1" applyFont="1" applyFill="1" applyBorder="1" applyAlignment="1" applyProtection="1">
      <alignment horizontal="center" vertical="center"/>
      <protection hidden="1"/>
    </xf>
    <xf numFmtId="170" fontId="49" fillId="10" borderId="4" xfId="0" applyNumberFormat="1" applyFont="1" applyFill="1" applyBorder="1" applyAlignment="1" applyProtection="1">
      <alignment horizontal="center" vertical="center"/>
      <protection hidden="1"/>
    </xf>
    <xf numFmtId="171" fontId="49" fillId="10" borderId="4" xfId="0" applyNumberFormat="1" applyFont="1" applyFill="1" applyBorder="1" applyAlignment="1" applyProtection="1">
      <alignment horizontal="center" vertical="center"/>
      <protection hidden="1"/>
    </xf>
    <xf numFmtId="176" fontId="10" fillId="5" borderId="3" xfId="0" applyNumberFormat="1" applyFont="1" applyFill="1" applyBorder="1" applyAlignment="1" applyProtection="1">
      <alignment vertical="center"/>
      <protection hidden="1"/>
    </xf>
    <xf numFmtId="165" fontId="48" fillId="5" borderId="0" xfId="0" applyNumberFormat="1" applyFont="1" applyFill="1" applyAlignment="1" applyProtection="1">
      <alignment horizontal="center" vertical="center"/>
      <protection hidden="1"/>
    </xf>
    <xf numFmtId="0" fontId="16" fillId="5" borderId="0" xfId="0" applyFont="1" applyFill="1" applyProtection="1">
      <protection hidden="1"/>
    </xf>
    <xf numFmtId="0" fontId="13" fillId="8" borderId="4" xfId="0" applyFont="1" applyFill="1" applyBorder="1" applyAlignment="1" applyProtection="1">
      <alignment vertical="center"/>
      <protection hidden="1"/>
    </xf>
    <xf numFmtId="3" fontId="13" fillId="8" borderId="4" xfId="0" applyNumberFormat="1" applyFont="1" applyFill="1" applyBorder="1" applyAlignment="1" applyProtection="1">
      <alignment horizontal="center" vertical="center"/>
      <protection hidden="1"/>
    </xf>
    <xf numFmtId="167" fontId="13" fillId="8" borderId="4" xfId="0" applyNumberFormat="1" applyFont="1" applyFill="1" applyBorder="1" applyAlignment="1" applyProtection="1">
      <alignment horizontal="center" vertical="center"/>
      <protection hidden="1"/>
    </xf>
    <xf numFmtId="3" fontId="26" fillId="8" borderId="4" xfId="0" applyNumberFormat="1" applyFont="1" applyFill="1" applyBorder="1" applyAlignment="1" applyProtection="1">
      <alignment horizontal="center" vertical="center"/>
      <protection hidden="1"/>
    </xf>
    <xf numFmtId="170" fontId="13" fillId="8" borderId="4" xfId="0" applyNumberFormat="1" applyFont="1" applyFill="1" applyBorder="1" applyAlignment="1" applyProtection="1">
      <alignment horizontal="center" vertical="center"/>
      <protection hidden="1"/>
    </xf>
    <xf numFmtId="0" fontId="10" fillId="5" borderId="3" xfId="0" quotePrefix="1" applyFont="1" applyFill="1" applyBorder="1" applyAlignment="1" applyProtection="1">
      <alignment vertical="center" wrapText="1"/>
      <protection hidden="1"/>
    </xf>
    <xf numFmtId="0" fontId="13" fillId="8" borderId="4" xfId="0" applyFont="1" applyFill="1" applyBorder="1" applyAlignment="1" applyProtection="1">
      <alignment horizontal="center" vertical="center"/>
      <protection hidden="1"/>
    </xf>
    <xf numFmtId="164" fontId="13" fillId="8" borderId="4" xfId="2" applyNumberFormat="1" applyFont="1" applyFill="1" applyBorder="1" applyAlignment="1" applyProtection="1">
      <alignment horizontal="center" vertical="center"/>
      <protection hidden="1"/>
    </xf>
    <xf numFmtId="3" fontId="25" fillId="8" borderId="4" xfId="0" applyNumberFormat="1" applyFont="1" applyFill="1" applyBorder="1" applyAlignment="1" applyProtection="1">
      <alignment horizontal="center" vertical="center"/>
      <protection hidden="1"/>
    </xf>
    <xf numFmtId="171" fontId="13" fillId="8" borderId="4" xfId="0" applyNumberFormat="1" applyFont="1" applyFill="1" applyBorder="1" applyAlignment="1" applyProtection="1">
      <alignment horizontal="center" vertical="center"/>
      <protection hidden="1"/>
    </xf>
    <xf numFmtId="0" fontId="13" fillId="5" borderId="3" xfId="0" quotePrefix="1" applyFont="1" applyFill="1" applyBorder="1" applyAlignment="1" applyProtection="1">
      <alignment vertical="center" wrapText="1"/>
      <protection hidden="1"/>
    </xf>
    <xf numFmtId="0" fontId="12" fillId="8" borderId="3" xfId="0" applyFont="1" applyFill="1" applyBorder="1" applyAlignment="1" applyProtection="1">
      <alignment horizontal="center" vertical="center" wrapText="1"/>
      <protection hidden="1"/>
    </xf>
    <xf numFmtId="10" fontId="13" fillId="8" borderId="4" xfId="2" applyNumberFormat="1" applyFont="1" applyFill="1" applyBorder="1" applyAlignment="1" applyProtection="1">
      <alignment horizontal="center" vertical="center"/>
      <protection hidden="1"/>
    </xf>
    <xf numFmtId="174" fontId="9" fillId="5" borderId="0" xfId="0" applyNumberFormat="1" applyFont="1" applyFill="1" applyProtection="1">
      <protection hidden="1"/>
    </xf>
    <xf numFmtId="0" fontId="18" fillId="5" borderId="0" xfId="0" applyFont="1" applyFill="1" applyProtection="1">
      <protection hidden="1"/>
    </xf>
    <xf numFmtId="0" fontId="20" fillId="5" borderId="0" xfId="0" applyFont="1" applyFill="1" applyProtection="1">
      <protection hidden="1"/>
    </xf>
    <xf numFmtId="0" fontId="9" fillId="8"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17" fillId="8" borderId="0" xfId="0" applyFont="1" applyFill="1" applyAlignment="1" applyProtection="1">
      <alignment vertical="center"/>
      <protection hidden="1"/>
    </xf>
    <xf numFmtId="0" fontId="18" fillId="5" borderId="0" xfId="0" applyFont="1" applyFill="1" applyAlignment="1" applyProtection="1">
      <alignment vertical="center"/>
      <protection hidden="1"/>
    </xf>
    <xf numFmtId="1" fontId="18" fillId="5" borderId="3" xfId="0" applyNumberFormat="1" applyFont="1" applyFill="1" applyBorder="1" applyAlignment="1" applyProtection="1">
      <alignment horizontal="right" vertical="center"/>
      <protection hidden="1"/>
    </xf>
    <xf numFmtId="14" fontId="18" fillId="0" borderId="3" xfId="0" applyNumberFormat="1" applyFont="1" applyFill="1" applyBorder="1" applyAlignment="1" applyProtection="1">
      <alignment horizontal="center" vertical="center"/>
      <protection hidden="1"/>
    </xf>
    <xf numFmtId="164" fontId="36" fillId="0" borderId="1" xfId="5" applyNumberFormat="1" applyFont="1" applyFill="1" applyAlignment="1" applyProtection="1">
      <alignment horizontal="right" vertical="center"/>
      <protection hidden="1"/>
    </xf>
    <xf numFmtId="9" fontId="18" fillId="5" borderId="0" xfId="0" applyNumberFormat="1" applyFont="1" applyFill="1" applyAlignment="1" applyProtection="1">
      <alignment vertical="center"/>
      <protection hidden="1"/>
    </xf>
    <xf numFmtId="0" fontId="38" fillId="5" borderId="0" xfId="0" applyFont="1" applyFill="1" applyAlignment="1" applyProtection="1">
      <alignment vertical="center"/>
      <protection hidden="1"/>
    </xf>
    <xf numFmtId="44" fontId="18" fillId="0" borderId="3" xfId="1" applyFont="1" applyFill="1" applyBorder="1" applyAlignment="1" applyProtection="1">
      <alignment vertical="center"/>
      <protection hidden="1"/>
    </xf>
    <xf numFmtId="0" fontId="18" fillId="5" borderId="3" xfId="0" applyFont="1" applyFill="1" applyBorder="1" applyAlignment="1" applyProtection="1">
      <alignment vertical="center" wrapText="1"/>
      <protection hidden="1"/>
    </xf>
    <xf numFmtId="165" fontId="18" fillId="0" borderId="3" xfId="0" applyNumberFormat="1" applyFont="1" applyFill="1" applyBorder="1" applyAlignment="1" applyProtection="1">
      <alignment vertical="center"/>
      <protection hidden="1"/>
    </xf>
    <xf numFmtId="165" fontId="17" fillId="0" borderId="3" xfId="0" applyNumberFormat="1" applyFont="1" applyFill="1" applyBorder="1" applyAlignment="1" applyProtection="1">
      <alignment vertical="center"/>
      <protection hidden="1"/>
    </xf>
    <xf numFmtId="0" fontId="17" fillId="5" borderId="0" xfId="0" applyFont="1" applyFill="1" applyBorder="1" applyAlignment="1" applyProtection="1">
      <alignment horizontal="center" vertical="center"/>
      <protection hidden="1"/>
    </xf>
    <xf numFmtId="44" fontId="18" fillId="0" borderId="3" xfId="1" applyFont="1" applyFill="1" applyBorder="1" applyAlignment="1" applyProtection="1">
      <alignment horizontal="right" vertical="center"/>
      <protection hidden="1"/>
    </xf>
    <xf numFmtId="0" fontId="17" fillId="3" borderId="3" xfId="0" applyFont="1" applyFill="1" applyBorder="1" applyAlignment="1" applyProtection="1">
      <alignment horizontal="right" vertical="center"/>
      <protection locked="0"/>
    </xf>
    <xf numFmtId="3" fontId="17" fillId="3" borderId="3" xfId="0" applyNumberFormat="1" applyFont="1" applyFill="1" applyBorder="1" applyAlignment="1" applyProtection="1">
      <alignment horizontal="right" vertical="center"/>
      <protection locked="0"/>
    </xf>
    <xf numFmtId="168" fontId="17" fillId="3" borderId="3" xfId="0" applyNumberFormat="1" applyFont="1" applyFill="1" applyBorder="1" applyAlignment="1" applyProtection="1">
      <alignment horizontal="right" vertical="center"/>
      <protection locked="0"/>
    </xf>
    <xf numFmtId="169" fontId="17" fillId="3" borderId="3" xfId="0" applyNumberFormat="1" applyFont="1" applyFill="1" applyBorder="1" applyAlignment="1" applyProtection="1">
      <alignment horizontal="right" vertical="center"/>
      <protection locked="0"/>
    </xf>
    <xf numFmtId="167" fontId="17" fillId="3" borderId="3" xfId="0" applyNumberFormat="1" applyFont="1" applyFill="1" applyBorder="1" applyAlignment="1" applyProtection="1">
      <alignment horizontal="right" vertical="center"/>
      <protection locked="0"/>
    </xf>
    <xf numFmtId="165" fontId="17" fillId="3" borderId="3" xfId="0" applyNumberFormat="1" applyFont="1" applyFill="1" applyBorder="1" applyAlignment="1" applyProtection="1">
      <alignment vertical="center"/>
      <protection locked="0"/>
    </xf>
    <xf numFmtId="44" fontId="17" fillId="3" borderId="3" xfId="1" applyFont="1" applyFill="1" applyBorder="1" applyAlignment="1" applyProtection="1">
      <alignment horizontal="right" vertical="center"/>
      <protection locked="0"/>
    </xf>
    <xf numFmtId="0" fontId="18" fillId="12" borderId="3" xfId="0" applyFont="1" applyFill="1" applyBorder="1" applyAlignment="1" applyProtection="1">
      <alignment vertical="center" wrapText="1"/>
      <protection locked="0"/>
    </xf>
    <xf numFmtId="3" fontId="34" fillId="4" borderId="2" xfId="4" applyNumberFormat="1" applyFont="1" applyAlignment="1" applyProtection="1">
      <alignment wrapText="1"/>
      <protection hidden="1"/>
    </xf>
    <xf numFmtId="0" fontId="45" fillId="5" borderId="0" xfId="0" quotePrefix="1" applyFont="1" applyFill="1" applyProtection="1">
      <protection hidden="1"/>
    </xf>
    <xf numFmtId="0" fontId="43" fillId="7" borderId="3" xfId="0" applyFont="1" applyFill="1" applyBorder="1" applyAlignment="1" applyProtection="1">
      <alignment vertical="center"/>
      <protection hidden="1"/>
    </xf>
    <xf numFmtId="0" fontId="43" fillId="7" borderId="4" xfId="0" applyFont="1" applyFill="1" applyBorder="1" applyAlignment="1" applyProtection="1">
      <alignment vertical="center"/>
      <protection hidden="1"/>
    </xf>
    <xf numFmtId="0" fontId="43" fillId="7" borderId="3" xfId="0" applyFont="1" applyFill="1" applyBorder="1" applyAlignment="1" applyProtection="1">
      <alignment vertical="center" wrapText="1"/>
      <protection hidden="1"/>
    </xf>
    <xf numFmtId="1" fontId="18" fillId="5" borderId="3" xfId="0" applyNumberFormat="1" applyFont="1" applyFill="1" applyBorder="1" applyAlignment="1" applyProtection="1">
      <alignment horizontal="left"/>
      <protection hidden="1"/>
    </xf>
    <xf numFmtId="3" fontId="40" fillId="4" borderId="15" xfId="5" applyNumberFormat="1" applyFont="1" applyBorder="1" applyProtection="1">
      <protection hidden="1"/>
    </xf>
    <xf numFmtId="3" fontId="40" fillId="4" borderId="11" xfId="5" applyNumberFormat="1" applyFont="1" applyBorder="1" applyProtection="1">
      <protection hidden="1"/>
    </xf>
    <xf numFmtId="3" fontId="40" fillId="4" borderId="1" xfId="5" applyNumberFormat="1" applyFont="1" applyProtection="1">
      <protection hidden="1"/>
    </xf>
    <xf numFmtId="3" fontId="18" fillId="5" borderId="0" xfId="0" applyNumberFormat="1" applyFont="1" applyFill="1" applyProtection="1">
      <protection hidden="1"/>
    </xf>
    <xf numFmtId="3" fontId="40" fillId="4" borderId="12" xfId="5" applyNumberFormat="1" applyFont="1" applyBorder="1" applyProtection="1">
      <protection hidden="1"/>
    </xf>
    <xf numFmtId="0" fontId="40" fillId="4" borderId="19" xfId="5" applyFont="1" applyBorder="1" applyProtection="1">
      <protection hidden="1"/>
    </xf>
    <xf numFmtId="3" fontId="27" fillId="8" borderId="3" xfId="0" applyNumberFormat="1" applyFont="1" applyFill="1" applyBorder="1" applyProtection="1">
      <protection hidden="1"/>
    </xf>
    <xf numFmtId="9" fontId="40" fillId="4" borderId="12" xfId="5" applyNumberFormat="1" applyFont="1" applyBorder="1" applyAlignment="1" applyProtection="1">
      <protection hidden="1"/>
    </xf>
    <xf numFmtId="0" fontId="9" fillId="0" borderId="0" xfId="0" applyFont="1" applyProtection="1">
      <protection hidden="1"/>
    </xf>
    <xf numFmtId="0" fontId="44" fillId="4" borderId="2" xfId="4" applyFont="1" applyProtection="1">
      <protection hidden="1"/>
    </xf>
    <xf numFmtId="0" fontId="18" fillId="5" borderId="0" xfId="0" applyFont="1" applyFill="1" applyAlignment="1" applyProtection="1">
      <alignment wrapText="1"/>
      <protection hidden="1"/>
    </xf>
    <xf numFmtId="0" fontId="31" fillId="5" borderId="0" xfId="0" applyFont="1" applyFill="1" applyProtection="1">
      <protection hidden="1"/>
    </xf>
    <xf numFmtId="0" fontId="39" fillId="5" borderId="3" xfId="4" applyFont="1" applyFill="1" applyBorder="1" applyAlignment="1" applyProtection="1">
      <alignment vertical="center"/>
      <protection hidden="1"/>
    </xf>
    <xf numFmtId="0" fontId="40" fillId="4" borderId="1" xfId="5" applyFont="1" applyProtection="1">
      <protection hidden="1"/>
    </xf>
    <xf numFmtId="0" fontId="18" fillId="0" borderId="0" xfId="0" applyFont="1" applyProtection="1">
      <protection hidden="1"/>
    </xf>
    <xf numFmtId="0" fontId="9" fillId="0" borderId="0" xfId="0" applyFont="1" applyFill="1" applyProtection="1">
      <protection hidden="1"/>
    </xf>
    <xf numFmtId="0" fontId="10" fillId="5" borderId="0" xfId="0" applyFont="1" applyFill="1" applyProtection="1">
      <protection hidden="1"/>
    </xf>
    <xf numFmtId="0" fontId="41" fillId="5" borderId="3" xfId="4" applyFont="1" applyFill="1" applyBorder="1" applyAlignment="1" applyProtection="1">
      <alignment vertical="center" wrapText="1"/>
      <protection hidden="1"/>
    </xf>
    <xf numFmtId="0" fontId="19" fillId="0" borderId="0" xfId="0" applyFont="1" applyProtection="1">
      <protection hidden="1"/>
    </xf>
    <xf numFmtId="164" fontId="32" fillId="0" borderId="0" xfId="0" applyNumberFormat="1" applyFont="1" applyFill="1" applyProtection="1">
      <protection hidden="1"/>
    </xf>
    <xf numFmtId="0" fontId="40" fillId="5" borderId="3" xfId="5" applyFont="1" applyFill="1" applyBorder="1" applyAlignment="1" applyProtection="1">
      <alignment vertical="center"/>
      <protection hidden="1"/>
    </xf>
    <xf numFmtId="0" fontId="42" fillId="5" borderId="3" xfId="0" applyFont="1" applyFill="1" applyBorder="1" applyAlignment="1" applyProtection="1">
      <alignment vertical="center"/>
      <protection hidden="1"/>
    </xf>
    <xf numFmtId="43" fontId="18" fillId="5" borderId="0" xfId="6" applyFont="1" applyFill="1" applyProtection="1">
      <protection hidden="1"/>
    </xf>
    <xf numFmtId="0" fontId="18" fillId="0" borderId="0" xfId="0" applyFont="1" applyAlignment="1" applyProtection="1">
      <alignment vertical="center"/>
      <protection hidden="1"/>
    </xf>
    <xf numFmtId="0" fontId="27" fillId="4" borderId="2" xfId="4" applyFont="1" applyAlignment="1" applyProtection="1">
      <alignment vertical="center"/>
      <protection hidden="1"/>
    </xf>
    <xf numFmtId="172" fontId="40" fillId="4" borderId="1" xfId="5" applyNumberFormat="1" applyFont="1" applyAlignment="1" applyProtection="1">
      <alignment vertical="center"/>
      <protection hidden="1"/>
    </xf>
    <xf numFmtId="173" fontId="40" fillId="4" borderId="1" xfId="5" applyNumberFormat="1" applyFont="1" applyAlignment="1" applyProtection="1">
      <alignment vertical="center"/>
      <protection hidden="1"/>
    </xf>
    <xf numFmtId="166" fontId="40" fillId="4" borderId="1" xfId="5" applyNumberFormat="1" applyFont="1" applyAlignment="1" applyProtection="1">
      <alignment vertical="center"/>
      <protection hidden="1"/>
    </xf>
    <xf numFmtId="44" fontId="40" fillId="4" borderId="1" xfId="5" applyNumberFormat="1" applyFont="1" applyAlignment="1" applyProtection="1">
      <alignment vertical="center"/>
      <protection hidden="1"/>
    </xf>
    <xf numFmtId="172" fontId="40" fillId="4" borderId="1" xfId="5" applyNumberFormat="1" applyFont="1" applyProtection="1">
      <protection hidden="1"/>
    </xf>
    <xf numFmtId="173" fontId="40" fillId="4" borderId="1" xfId="5" applyNumberFormat="1" applyFont="1" applyProtection="1">
      <protection hidden="1"/>
    </xf>
    <xf numFmtId="166" fontId="40" fillId="4" borderId="1" xfId="5" applyNumberFormat="1" applyFont="1" applyProtection="1">
      <protection hidden="1"/>
    </xf>
    <xf numFmtId="170" fontId="40" fillId="4" borderId="1" xfId="5" applyNumberFormat="1" applyFont="1" applyProtection="1">
      <protection hidden="1"/>
    </xf>
    <xf numFmtId="171" fontId="40" fillId="4" borderId="1" xfId="5" applyNumberFormat="1" applyFont="1" applyProtection="1">
      <protection hidden="1"/>
    </xf>
    <xf numFmtId="44" fontId="40" fillId="4" borderId="1" xfId="5" applyNumberFormat="1" applyFont="1" applyProtection="1">
      <protection hidden="1"/>
    </xf>
    <xf numFmtId="44" fontId="18" fillId="5" borderId="0" xfId="1" applyFont="1" applyFill="1" applyProtection="1">
      <protection hidden="1"/>
    </xf>
    <xf numFmtId="44" fontId="9" fillId="5" borderId="0" xfId="0" applyNumberFormat="1" applyFont="1" applyFill="1" applyProtection="1">
      <protection hidden="1"/>
    </xf>
    <xf numFmtId="0" fontId="12" fillId="5" borderId="0" xfId="0" applyFont="1" applyFill="1" applyProtection="1">
      <protection hidden="1"/>
    </xf>
    <xf numFmtId="0" fontId="18" fillId="5" borderId="0" xfId="0" applyFont="1" applyFill="1" applyAlignment="1" applyProtection="1">
      <alignment vertical="top"/>
      <protection hidden="1"/>
    </xf>
    <xf numFmtId="0" fontId="16" fillId="5" borderId="0" xfId="0" applyFont="1" applyFill="1" applyBorder="1" applyAlignment="1" applyProtection="1">
      <alignment vertical="center" textRotation="90" wrapText="1"/>
      <protection hidden="1"/>
    </xf>
    <xf numFmtId="3" fontId="13" fillId="5" borderId="3" xfId="0" applyNumberFormat="1" applyFont="1" applyFill="1" applyBorder="1" applyAlignment="1" applyProtection="1">
      <alignment horizontal="center" vertical="center"/>
      <protection hidden="1"/>
    </xf>
    <xf numFmtId="3" fontId="37" fillId="8" borderId="18" xfId="5" applyNumberFormat="1" applyFont="1" applyFill="1" applyBorder="1" applyAlignment="1" applyProtection="1">
      <alignment horizontal="center" vertical="center"/>
      <protection hidden="1"/>
    </xf>
    <xf numFmtId="167" fontId="37" fillId="8" borderId="18" xfId="5" applyNumberFormat="1" applyFont="1" applyFill="1" applyBorder="1" applyAlignment="1" applyProtection="1">
      <alignment horizontal="center" vertical="center"/>
      <protection hidden="1"/>
    </xf>
    <xf numFmtId="170" fontId="32" fillId="5" borderId="0" xfId="0" applyNumberFormat="1" applyFont="1" applyFill="1" applyProtection="1">
      <protection hidden="1"/>
    </xf>
    <xf numFmtId="0" fontId="32" fillId="5" borderId="0" xfId="0" applyFont="1" applyFill="1" applyProtection="1">
      <protection hidden="1"/>
    </xf>
    <xf numFmtId="0" fontId="9" fillId="5" borderId="0" xfId="0" quotePrefix="1" applyFont="1" applyFill="1" applyProtection="1">
      <protection hidden="1"/>
    </xf>
    <xf numFmtId="1" fontId="9" fillId="5" borderId="0" xfId="0" applyNumberFormat="1" applyFont="1" applyFill="1" applyProtection="1">
      <protection hidden="1"/>
    </xf>
    <xf numFmtId="164" fontId="13" fillId="0" borderId="3" xfId="2" applyNumberFormat="1" applyFont="1" applyFill="1" applyBorder="1" applyAlignment="1" applyProtection="1">
      <alignment horizontal="center" vertical="center"/>
      <protection hidden="1"/>
    </xf>
    <xf numFmtId="0" fontId="18" fillId="0" borderId="4" xfId="0" applyFont="1" applyBorder="1" applyAlignment="1" applyProtection="1">
      <alignment vertical="center"/>
      <protection hidden="1"/>
    </xf>
    <xf numFmtId="0" fontId="50" fillId="5" borderId="0" xfId="0" applyFont="1" applyFill="1" applyAlignment="1" applyProtection="1">
      <alignment horizontal="center"/>
      <protection hidden="1"/>
    </xf>
    <xf numFmtId="0" fontId="50" fillId="5" borderId="0" xfId="0" applyFont="1" applyFill="1" applyProtection="1">
      <protection hidden="1"/>
    </xf>
    <xf numFmtId="175" fontId="50" fillId="5" borderId="0" xfId="6" applyNumberFormat="1" applyFont="1" applyFill="1" applyProtection="1">
      <protection hidden="1"/>
    </xf>
    <xf numFmtId="170" fontId="50" fillId="5" borderId="0" xfId="0" applyNumberFormat="1" applyFont="1" applyFill="1" applyProtection="1">
      <protection hidden="1"/>
    </xf>
    <xf numFmtId="0" fontId="11" fillId="7" borderId="3" xfId="0" applyFont="1" applyFill="1" applyBorder="1" applyAlignment="1" applyProtection="1">
      <alignment horizontal="left" vertical="center" wrapText="1"/>
      <protection hidden="1"/>
    </xf>
    <xf numFmtId="0" fontId="11" fillId="7" borderId="3" xfId="0" applyFont="1" applyFill="1" applyBorder="1" applyAlignment="1" applyProtection="1">
      <alignment vertical="center" wrapText="1"/>
      <protection hidden="1"/>
    </xf>
    <xf numFmtId="3" fontId="11" fillId="7" borderId="3" xfId="0" applyNumberFormat="1" applyFont="1" applyFill="1" applyBorder="1" applyAlignment="1" applyProtection="1">
      <alignment vertical="center" wrapText="1"/>
      <protection hidden="1"/>
    </xf>
    <xf numFmtId="0" fontId="18" fillId="13" borderId="9" xfId="0" applyFont="1" applyFill="1" applyBorder="1" applyAlignment="1" applyProtection="1">
      <alignment vertical="center"/>
      <protection hidden="1"/>
    </xf>
    <xf numFmtId="0" fontId="18" fillId="13" borderId="6" xfId="0" applyFont="1" applyFill="1" applyBorder="1" applyAlignment="1" applyProtection="1">
      <alignment vertical="center"/>
      <protection hidden="1"/>
    </xf>
    <xf numFmtId="0" fontId="18" fillId="13" borderId="17" xfId="0" applyFont="1" applyFill="1" applyBorder="1" applyAlignment="1" applyProtection="1">
      <alignment vertical="center"/>
      <protection hidden="1"/>
    </xf>
    <xf numFmtId="0" fontId="18" fillId="0" borderId="3" xfId="0" applyFont="1" applyFill="1" applyBorder="1" applyAlignment="1" applyProtection="1">
      <alignment vertical="center"/>
      <protection hidden="1"/>
    </xf>
    <xf numFmtId="0" fontId="18" fillId="0" borderId="3" xfId="0" applyFont="1" applyBorder="1" applyAlignment="1" applyProtection="1">
      <alignment vertical="center"/>
      <protection hidden="1"/>
    </xf>
    <xf numFmtId="44" fontId="18" fillId="0" borderId="3" xfId="1" applyFont="1" applyBorder="1" applyAlignment="1" applyProtection="1">
      <alignment vertical="center"/>
      <protection hidden="1"/>
    </xf>
    <xf numFmtId="173" fontId="18" fillId="0" borderId="3" xfId="1" applyNumberFormat="1" applyFont="1" applyBorder="1" applyAlignment="1" applyProtection="1">
      <alignment vertical="center"/>
      <protection hidden="1"/>
    </xf>
    <xf numFmtId="44" fontId="18" fillId="0" borderId="3" xfId="0" applyNumberFormat="1" applyFont="1" applyBorder="1" applyAlignment="1" applyProtection="1">
      <alignment vertical="center"/>
      <protection hidden="1"/>
    </xf>
    <xf numFmtId="44" fontId="18" fillId="0" borderId="8" xfId="0" applyNumberFormat="1" applyFont="1" applyBorder="1" applyAlignment="1" applyProtection="1">
      <alignment vertical="center"/>
      <protection hidden="1"/>
    </xf>
    <xf numFmtId="0" fontId="19" fillId="0" borderId="4" xfId="0" applyFont="1" applyBorder="1" applyAlignment="1" applyProtection="1">
      <alignment vertical="center"/>
      <protection hidden="1"/>
    </xf>
    <xf numFmtId="9" fontId="18" fillId="0" borderId="3" xfId="0" applyNumberFormat="1" applyFont="1" applyBorder="1" applyAlignment="1" applyProtection="1">
      <alignment vertical="center"/>
      <protection hidden="1"/>
    </xf>
    <xf numFmtId="0" fontId="19" fillId="0" borderId="21" xfId="0" applyFont="1" applyBorder="1" applyAlignment="1" applyProtection="1">
      <alignment vertical="center"/>
      <protection hidden="1"/>
    </xf>
    <xf numFmtId="0" fontId="18" fillId="0" borderId="22" xfId="0" applyFont="1" applyFill="1" applyBorder="1" applyAlignment="1" applyProtection="1">
      <alignment vertical="center"/>
      <protection hidden="1"/>
    </xf>
    <xf numFmtId="0" fontId="18" fillId="0" borderId="22" xfId="0" applyFont="1" applyBorder="1" applyAlignment="1" applyProtection="1">
      <alignment vertical="center"/>
      <protection hidden="1"/>
    </xf>
    <xf numFmtId="44" fontId="18" fillId="0" borderId="22" xfId="1" applyFont="1" applyBorder="1" applyAlignment="1" applyProtection="1">
      <alignment vertical="center"/>
      <protection hidden="1"/>
    </xf>
    <xf numFmtId="173" fontId="18" fillId="0" borderId="22" xfId="1" applyNumberFormat="1" applyFont="1" applyBorder="1" applyAlignment="1" applyProtection="1">
      <alignment vertical="center"/>
      <protection hidden="1"/>
    </xf>
    <xf numFmtId="44" fontId="18" fillId="0" borderId="22" xfId="0" applyNumberFormat="1" applyFont="1" applyBorder="1" applyAlignment="1" applyProtection="1">
      <alignment vertical="center"/>
      <protection hidden="1"/>
    </xf>
    <xf numFmtId="9" fontId="18" fillId="0" borderId="22" xfId="0" applyNumberFormat="1" applyFont="1" applyBorder="1" applyAlignment="1" applyProtection="1">
      <alignment vertical="center"/>
      <protection hidden="1"/>
    </xf>
    <xf numFmtId="44" fontId="18" fillId="0" borderId="20" xfId="0" applyNumberFormat="1" applyFont="1" applyBorder="1" applyAlignment="1" applyProtection="1">
      <alignment vertical="center"/>
      <protection hidden="1"/>
    </xf>
    <xf numFmtId="164" fontId="9" fillId="5" borderId="0" xfId="2" applyNumberFormat="1" applyFont="1" applyFill="1" applyProtection="1">
      <protection hidden="1"/>
    </xf>
    <xf numFmtId="177" fontId="9" fillId="5" borderId="0" xfId="0" applyNumberFormat="1" applyFont="1" applyFill="1" applyProtection="1">
      <protection hidden="1"/>
    </xf>
    <xf numFmtId="10" fontId="9" fillId="5" borderId="0" xfId="2" applyNumberFormat="1" applyFont="1" applyFill="1" applyProtection="1">
      <protection hidden="1"/>
    </xf>
    <xf numFmtId="177" fontId="12" fillId="5" borderId="0" xfId="0" applyNumberFormat="1" applyFont="1" applyFill="1" applyProtection="1">
      <protection hidden="1"/>
    </xf>
    <xf numFmtId="10" fontId="12" fillId="5" borderId="0" xfId="2" applyNumberFormat="1" applyFont="1" applyFill="1" applyProtection="1">
      <protection hidden="1"/>
    </xf>
    <xf numFmtId="0" fontId="19" fillId="5" borderId="8" xfId="0" applyFont="1" applyFill="1" applyBorder="1" applyAlignment="1" applyProtection="1">
      <alignment horizontal="left" vertical="center"/>
      <protection hidden="1"/>
    </xf>
    <xf numFmtId="0" fontId="19" fillId="5" borderId="5" xfId="0" applyFont="1" applyFill="1" applyBorder="1" applyAlignment="1" applyProtection="1">
      <alignment horizontal="left" vertical="center"/>
      <protection hidden="1"/>
    </xf>
    <xf numFmtId="0" fontId="19" fillId="5" borderId="4" xfId="0" applyFont="1" applyFill="1" applyBorder="1" applyAlignment="1" applyProtection="1">
      <alignment horizontal="left" vertical="center"/>
      <protection hidden="1"/>
    </xf>
    <xf numFmtId="0" fontId="17" fillId="3" borderId="3" xfId="0" applyFont="1" applyFill="1" applyBorder="1" applyAlignment="1" applyProtection="1">
      <alignment vertical="center"/>
      <protection locked="0"/>
    </xf>
    <xf numFmtId="0" fontId="17" fillId="3" borderId="22" xfId="0" applyFont="1" applyFill="1" applyBorder="1" applyAlignment="1" applyProtection="1">
      <alignment vertical="center"/>
      <protection locked="0"/>
    </xf>
    <xf numFmtId="44" fontId="18" fillId="3" borderId="22" xfId="1" applyFont="1" applyFill="1" applyBorder="1" applyAlignment="1" applyProtection="1">
      <alignment vertical="center"/>
      <protection locked="0"/>
    </xf>
    <xf numFmtId="9" fontId="17" fillId="3" borderId="3" xfId="0" applyNumberFormat="1" applyFont="1" applyFill="1" applyBorder="1" applyAlignment="1" applyProtection="1">
      <alignment vertical="center"/>
      <protection locked="0"/>
    </xf>
    <xf numFmtId="9" fontId="36" fillId="3" borderId="11" xfId="3" applyNumberFormat="1" applyFont="1" applyFill="1" applyBorder="1" applyProtection="1">
      <protection locked="0"/>
    </xf>
    <xf numFmtId="0" fontId="12" fillId="5" borderId="4" xfId="0" applyFont="1" applyFill="1" applyBorder="1" applyAlignment="1" applyProtection="1">
      <alignment vertical="center"/>
      <protection hidden="1"/>
    </xf>
    <xf numFmtId="0" fontId="12" fillId="8" borderId="4" xfId="0" applyFont="1" applyFill="1" applyBorder="1" applyAlignment="1" applyProtection="1">
      <alignment vertical="center" wrapText="1"/>
      <protection hidden="1"/>
    </xf>
    <xf numFmtId="0" fontId="11" fillId="10" borderId="4" xfId="0" applyFont="1" applyFill="1" applyBorder="1" applyAlignment="1" applyProtection="1">
      <alignment vertical="center" wrapText="1"/>
      <protection hidden="1"/>
    </xf>
    <xf numFmtId="0" fontId="12" fillId="5" borderId="3" xfId="0" applyFont="1" applyFill="1" applyBorder="1" applyAlignment="1" applyProtection="1">
      <alignment vertical="center"/>
      <protection hidden="1"/>
    </xf>
    <xf numFmtId="0" fontId="54" fillId="7" borderId="3" xfId="0" applyFont="1" applyFill="1" applyBorder="1" applyAlignment="1" applyProtection="1">
      <alignment vertical="center" wrapText="1"/>
      <protection hidden="1"/>
    </xf>
    <xf numFmtId="0" fontId="55" fillId="5" borderId="4" xfId="0" applyFont="1" applyFill="1" applyBorder="1" applyAlignment="1" applyProtection="1">
      <alignment horizontal="center" vertical="center"/>
      <protection hidden="1"/>
    </xf>
    <xf numFmtId="164" fontId="55" fillId="5" borderId="4" xfId="2" applyNumberFormat="1" applyFont="1" applyFill="1" applyBorder="1" applyAlignment="1" applyProtection="1">
      <alignment horizontal="center" vertical="center"/>
      <protection hidden="1"/>
    </xf>
    <xf numFmtId="0" fontId="55" fillId="5" borderId="24" xfId="0" applyFont="1" applyFill="1" applyBorder="1" applyAlignment="1" applyProtection="1">
      <alignment vertical="center"/>
      <protection hidden="1"/>
    </xf>
    <xf numFmtId="164" fontId="34" fillId="4" borderId="25" xfId="2" applyNumberFormat="1" applyFont="1" applyFill="1" applyBorder="1" applyAlignment="1" applyProtection="1">
      <alignment horizontal="center" vertical="center"/>
      <protection hidden="1"/>
    </xf>
    <xf numFmtId="0" fontId="56" fillId="5" borderId="3" xfId="0" quotePrefix="1" applyFont="1" applyFill="1" applyBorder="1" applyAlignment="1" applyProtection="1">
      <alignment vertical="center" wrapText="1"/>
      <protection hidden="1"/>
    </xf>
    <xf numFmtId="0" fontId="49" fillId="10" borderId="3" xfId="0" quotePrefix="1" applyFont="1" applyFill="1" applyBorder="1" applyAlignment="1" applyProtection="1">
      <alignment horizontal="center" vertical="center" wrapText="1"/>
      <protection hidden="1"/>
    </xf>
    <xf numFmtId="3" fontId="17" fillId="5" borderId="3" xfId="0" applyNumberFormat="1" applyFont="1" applyFill="1" applyBorder="1" applyAlignment="1" applyProtection="1">
      <alignment horizontal="right" vertical="center"/>
      <protection hidden="1"/>
    </xf>
    <xf numFmtId="9" fontId="17" fillId="3" borderId="3" xfId="2" applyFont="1" applyFill="1" applyBorder="1" applyAlignment="1" applyProtection="1">
      <alignment horizontal="right" vertical="center"/>
      <protection locked="0"/>
    </xf>
    <xf numFmtId="0" fontId="11" fillId="7" borderId="4" xfId="0" applyFont="1" applyFill="1" applyBorder="1" applyAlignment="1" applyProtection="1">
      <alignment vertical="center" wrapText="1"/>
      <protection locked="0"/>
    </xf>
    <xf numFmtId="170" fontId="13" fillId="3" borderId="3" xfId="0" applyNumberFormat="1" applyFont="1" applyFill="1" applyBorder="1" applyAlignment="1" applyProtection="1">
      <alignment horizontal="center" vertical="center"/>
      <protection locked="0" hidden="1"/>
    </xf>
    <xf numFmtId="171" fontId="13" fillId="3" borderId="3" xfId="0" applyNumberFormat="1" applyFont="1" applyFill="1" applyBorder="1" applyAlignment="1" applyProtection="1">
      <alignment horizontal="center" vertical="center"/>
      <protection locked="0" hidden="1"/>
    </xf>
    <xf numFmtId="0" fontId="13" fillId="3" borderId="3" xfId="0" applyFont="1" applyFill="1" applyBorder="1" applyAlignment="1" applyProtection="1">
      <alignment horizontal="center" vertical="center"/>
      <protection locked="0" hidden="1"/>
    </xf>
    <xf numFmtId="3" fontId="13" fillId="3" borderId="3" xfId="0" applyNumberFormat="1" applyFont="1" applyFill="1" applyBorder="1" applyAlignment="1" applyProtection="1">
      <alignment horizontal="center" vertical="center"/>
      <protection locked="0" hidden="1"/>
    </xf>
    <xf numFmtId="164" fontId="13" fillId="3" borderId="3" xfId="2" applyNumberFormat="1" applyFont="1" applyFill="1" applyBorder="1" applyAlignment="1" applyProtection="1">
      <alignment horizontal="center" vertical="center"/>
      <protection locked="0" hidden="1"/>
    </xf>
    <xf numFmtId="0" fontId="18" fillId="9" borderId="4" xfId="0" applyFont="1" applyFill="1" applyBorder="1" applyAlignment="1" applyProtection="1">
      <alignment vertical="center" wrapText="1"/>
      <protection hidden="1"/>
    </xf>
    <xf numFmtId="44" fontId="36" fillId="3" borderId="3" xfId="1" applyFont="1" applyFill="1" applyBorder="1" applyAlignment="1" applyProtection="1">
      <alignment horizontal="right" vertical="center"/>
      <protection locked="0"/>
    </xf>
    <xf numFmtId="0" fontId="46" fillId="5" borderId="0" xfId="0" applyFont="1" applyFill="1" applyProtection="1">
      <protection hidden="1"/>
    </xf>
    <xf numFmtId="0" fontId="13" fillId="8" borderId="4" xfId="0" applyFont="1" applyFill="1" applyBorder="1" applyAlignment="1" applyProtection="1">
      <alignment horizontal="center" vertical="center"/>
      <protection hidden="1"/>
    </xf>
    <xf numFmtId="14" fontId="24" fillId="8" borderId="3" xfId="0" applyNumberFormat="1" applyFont="1" applyFill="1" applyBorder="1" applyAlignment="1" applyProtection="1">
      <alignment horizontal="center" vertical="center"/>
      <protection hidden="1"/>
    </xf>
    <xf numFmtId="44" fontId="18" fillId="5" borderId="3" xfId="1" applyFont="1" applyFill="1" applyBorder="1" applyAlignment="1" applyProtection="1">
      <alignment horizontal="right" vertical="center"/>
      <protection hidden="1"/>
    </xf>
    <xf numFmtId="14" fontId="18" fillId="8" borderId="3" xfId="0" applyNumberFormat="1" applyFont="1" applyFill="1" applyBorder="1" applyAlignment="1" applyProtection="1">
      <alignment horizontal="center" vertical="center"/>
      <protection hidden="1"/>
    </xf>
    <xf numFmtId="164" fontId="12" fillId="4" borderId="12" xfId="5" applyNumberFormat="1" applyFont="1" applyBorder="1" applyAlignment="1" applyProtection="1">
      <alignment horizontal="center" vertical="center"/>
      <protection hidden="1"/>
    </xf>
    <xf numFmtId="164" fontId="12" fillId="4" borderId="3" xfId="5" applyNumberFormat="1" applyFont="1" applyBorder="1" applyAlignment="1" applyProtection="1">
      <alignment horizontal="center" vertical="center"/>
      <protection hidden="1"/>
    </xf>
    <xf numFmtId="10" fontId="12" fillId="4" borderId="3" xfId="5" applyNumberFormat="1" applyFont="1" applyBorder="1" applyAlignment="1" applyProtection="1">
      <alignment horizontal="center" vertical="center"/>
      <protection hidden="1"/>
    </xf>
    <xf numFmtId="10" fontId="12" fillId="4" borderId="26" xfId="5" applyNumberFormat="1" applyFont="1" applyBorder="1" applyAlignment="1" applyProtection="1">
      <alignment horizontal="center" vertical="center"/>
      <protection hidden="1"/>
    </xf>
    <xf numFmtId="164" fontId="12" fillId="4" borderId="26" xfId="5" applyNumberFormat="1" applyFont="1" applyBorder="1" applyAlignment="1" applyProtection="1">
      <alignment horizontal="center" vertical="center"/>
      <protection hidden="1"/>
    </xf>
    <xf numFmtId="10" fontId="12" fillId="4" borderId="24" xfId="5" applyNumberFormat="1" applyFont="1" applyBorder="1" applyAlignment="1" applyProtection="1">
      <alignment horizontal="center" vertical="center"/>
      <protection hidden="1"/>
    </xf>
    <xf numFmtId="10" fontId="12" fillId="4" borderId="15" xfId="5" applyNumberFormat="1" applyFont="1" applyBorder="1" applyAlignment="1" applyProtection="1">
      <alignment horizontal="center" vertical="center"/>
      <protection hidden="1"/>
    </xf>
    <xf numFmtId="170" fontId="12" fillId="4" borderId="1" xfId="5" applyNumberFormat="1" applyFont="1" applyAlignment="1" applyProtection="1">
      <alignment horizontal="center" vertical="center"/>
      <protection hidden="1"/>
    </xf>
    <xf numFmtId="171" fontId="12" fillId="4" borderId="1" xfId="5" applyNumberFormat="1" applyFont="1" applyAlignment="1" applyProtection="1">
      <alignment horizontal="center" vertical="center"/>
      <protection hidden="1"/>
    </xf>
    <xf numFmtId="10" fontId="12" fillId="4" borderId="11" xfId="5" applyNumberFormat="1" applyFont="1" applyBorder="1" applyAlignment="1" applyProtection="1">
      <alignment horizontal="center" vertical="center"/>
      <protection hidden="1"/>
    </xf>
    <xf numFmtId="44" fontId="17" fillId="12" borderId="3" xfId="1" applyFont="1" applyFill="1" applyBorder="1" applyAlignment="1" applyProtection="1">
      <alignment vertical="center" wrapText="1"/>
      <protection locked="0" hidden="1"/>
    </xf>
    <xf numFmtId="164" fontId="44" fillId="3" borderId="14" xfId="4" applyNumberFormat="1" applyFont="1" applyFill="1" applyBorder="1" applyAlignment="1" applyProtection="1">
      <alignment wrapText="1"/>
      <protection locked="0" hidden="1"/>
    </xf>
    <xf numFmtId="164" fontId="44" fillId="3" borderId="2" xfId="4" applyNumberFormat="1" applyFont="1" applyFill="1" applyAlignment="1" applyProtection="1">
      <alignment wrapText="1"/>
      <protection locked="0" hidden="1"/>
    </xf>
    <xf numFmtId="0" fontId="10" fillId="5" borderId="0" xfId="0" applyFont="1" applyFill="1" applyAlignment="1" applyProtection="1">
      <alignment horizontal="left" wrapText="1"/>
      <protection hidden="1"/>
    </xf>
    <xf numFmtId="0" fontId="10" fillId="5" borderId="0" xfId="0" applyFont="1" applyFill="1" applyAlignment="1" applyProtection="1">
      <alignment horizontal="left"/>
      <protection hidden="1"/>
    </xf>
    <xf numFmtId="0" fontId="10" fillId="5" borderId="0" xfId="0" applyFont="1" applyFill="1" applyAlignment="1" applyProtection="1">
      <alignment horizontal="left" vertical="top" wrapText="1"/>
      <protection hidden="1"/>
    </xf>
    <xf numFmtId="0" fontId="10" fillId="5" borderId="0" xfId="0" applyFont="1" applyFill="1" applyAlignment="1" applyProtection="1">
      <alignment horizontal="left" vertical="top"/>
      <protection hidden="1"/>
    </xf>
    <xf numFmtId="0" fontId="29" fillId="5" borderId="0" xfId="0" applyFont="1" applyFill="1" applyAlignment="1" applyProtection="1">
      <alignment horizontal="right" vertical="top" wrapText="1"/>
      <protection hidden="1"/>
    </xf>
    <xf numFmtId="0" fontId="29" fillId="5" borderId="0" xfId="0" applyFont="1" applyFill="1" applyAlignment="1" applyProtection="1">
      <alignment horizontal="right" vertical="top"/>
      <protection hidden="1"/>
    </xf>
    <xf numFmtId="0" fontId="52" fillId="5" borderId="0" xfId="7" applyFont="1" applyFill="1" applyAlignment="1" applyProtection="1">
      <alignment horizontal="left"/>
      <protection hidden="1"/>
    </xf>
    <xf numFmtId="0" fontId="11" fillId="7" borderId="8" xfId="0" applyFont="1" applyFill="1" applyBorder="1" applyAlignment="1" applyProtection="1">
      <alignment horizontal="center" vertical="center" wrapText="1"/>
      <protection hidden="1"/>
    </xf>
    <xf numFmtId="0" fontId="11" fillId="7" borderId="5" xfId="0" applyFont="1" applyFill="1" applyBorder="1" applyAlignment="1" applyProtection="1">
      <alignment horizontal="center" vertical="center" wrapText="1"/>
      <protection hidden="1"/>
    </xf>
    <xf numFmtId="0" fontId="11" fillId="7" borderId="4" xfId="0" applyFont="1" applyFill="1" applyBorder="1" applyAlignment="1" applyProtection="1">
      <alignment horizontal="center" vertical="center" wrapText="1"/>
      <protection hidden="1"/>
    </xf>
    <xf numFmtId="0" fontId="11" fillId="10" borderId="22" xfId="0" applyFont="1" applyFill="1" applyBorder="1" applyAlignment="1" applyProtection="1">
      <alignment horizontal="center" vertical="center" wrapText="1"/>
      <protection hidden="1"/>
    </xf>
    <xf numFmtId="0" fontId="11" fillId="10" borderId="23" xfId="0" applyFont="1" applyFill="1" applyBorder="1" applyAlignment="1" applyProtection="1">
      <alignment horizontal="center" vertical="center" wrapText="1"/>
      <protection hidden="1"/>
    </xf>
    <xf numFmtId="0" fontId="11" fillId="10" borderId="6" xfId="0" applyFont="1" applyFill="1" applyBorder="1" applyAlignment="1" applyProtection="1">
      <alignment horizontal="center" vertical="center" wrapText="1"/>
      <protection hidden="1"/>
    </xf>
    <xf numFmtId="0" fontId="11" fillId="14" borderId="10" xfId="0" applyFont="1" applyFill="1" applyBorder="1" applyAlignment="1" applyProtection="1">
      <alignment horizontal="center" vertical="center" wrapText="1"/>
      <protection hidden="1"/>
    </xf>
    <xf numFmtId="0" fontId="12" fillId="8" borderId="3" xfId="0" applyFont="1" applyFill="1" applyBorder="1" applyAlignment="1" applyProtection="1">
      <alignment horizontal="center" vertical="center" wrapText="1"/>
      <protection hidden="1"/>
    </xf>
    <xf numFmtId="0" fontId="33" fillId="8" borderId="3" xfId="0" applyFont="1" applyFill="1" applyBorder="1" applyAlignment="1" applyProtection="1">
      <alignment horizontal="center" vertical="center" wrapText="1"/>
      <protection hidden="1"/>
    </xf>
    <xf numFmtId="0" fontId="13" fillId="8" borderId="22" xfId="0" applyFont="1" applyFill="1" applyBorder="1" applyAlignment="1" applyProtection="1">
      <alignment horizontal="center" vertical="center"/>
      <protection hidden="1"/>
    </xf>
    <xf numFmtId="0" fontId="13" fillId="8" borderId="23" xfId="0" applyFont="1" applyFill="1" applyBorder="1" applyAlignment="1" applyProtection="1">
      <alignment horizontal="center" vertical="center"/>
      <protection hidden="1"/>
    </xf>
    <xf numFmtId="0" fontId="13" fillId="8" borderId="6" xfId="0" applyFont="1" applyFill="1" applyBorder="1" applyAlignment="1" applyProtection="1">
      <alignment horizontal="center" vertical="center"/>
      <protection hidden="1"/>
    </xf>
    <xf numFmtId="0" fontId="11" fillId="7" borderId="7" xfId="0" applyFont="1" applyFill="1" applyBorder="1" applyAlignment="1" applyProtection="1">
      <alignment horizontal="center" vertical="center" wrapText="1"/>
      <protection hidden="1"/>
    </xf>
    <xf numFmtId="0" fontId="11" fillId="7" borderId="0" xfId="0" applyFont="1" applyFill="1" applyBorder="1" applyAlignment="1" applyProtection="1">
      <alignment horizontal="center" vertical="center" wrapText="1"/>
      <protection hidden="1"/>
    </xf>
    <xf numFmtId="0" fontId="11" fillId="7" borderId="10" xfId="0" applyFont="1" applyFill="1" applyBorder="1" applyAlignment="1" applyProtection="1">
      <alignment horizontal="center" vertical="center" wrapText="1"/>
      <protection hidden="1"/>
    </xf>
    <xf numFmtId="0" fontId="33" fillId="8" borderId="22" xfId="0" applyFont="1" applyFill="1" applyBorder="1" applyAlignment="1" applyProtection="1">
      <alignment horizontal="center" vertical="center" wrapText="1"/>
      <protection hidden="1"/>
    </xf>
    <xf numFmtId="0" fontId="33" fillId="8" borderId="23" xfId="0" applyFont="1" applyFill="1" applyBorder="1" applyAlignment="1" applyProtection="1">
      <alignment horizontal="center" vertical="center" wrapText="1"/>
      <protection hidden="1"/>
    </xf>
    <xf numFmtId="0" fontId="33" fillId="8" borderId="6" xfId="0" applyFont="1" applyFill="1" applyBorder="1" applyAlignment="1" applyProtection="1">
      <alignment horizontal="center" vertical="center" wrapText="1"/>
      <protection hidden="1"/>
    </xf>
    <xf numFmtId="3" fontId="26" fillId="8" borderId="20" xfId="0" applyNumberFormat="1" applyFont="1" applyFill="1" applyBorder="1" applyAlignment="1" applyProtection="1">
      <alignment horizontal="center" vertical="center"/>
      <protection hidden="1"/>
    </xf>
    <xf numFmtId="3" fontId="26" fillId="8" borderId="7" xfId="0" applyNumberFormat="1" applyFont="1" applyFill="1" applyBorder="1" applyAlignment="1" applyProtection="1">
      <alignment horizontal="center" vertical="center"/>
      <protection hidden="1"/>
    </xf>
    <xf numFmtId="3" fontId="26" fillId="8" borderId="21" xfId="0" applyNumberFormat="1" applyFont="1" applyFill="1" applyBorder="1" applyAlignment="1" applyProtection="1">
      <alignment horizontal="center" vertical="center"/>
      <protection hidden="1"/>
    </xf>
    <xf numFmtId="3" fontId="26" fillId="8" borderId="27" xfId="0" applyNumberFormat="1" applyFont="1" applyFill="1" applyBorder="1" applyAlignment="1" applyProtection="1">
      <alignment horizontal="center" vertical="center"/>
      <protection hidden="1"/>
    </xf>
    <xf numFmtId="3" fontId="26" fillId="8" borderId="0" xfId="0" applyNumberFormat="1" applyFont="1" applyFill="1" applyBorder="1" applyAlignment="1" applyProtection="1">
      <alignment horizontal="center" vertical="center"/>
      <protection hidden="1"/>
    </xf>
    <xf numFmtId="3" fontId="26" fillId="8" borderId="16" xfId="0" applyNumberFormat="1" applyFont="1" applyFill="1" applyBorder="1" applyAlignment="1" applyProtection="1">
      <alignment horizontal="center" vertical="center"/>
      <protection hidden="1"/>
    </xf>
    <xf numFmtId="3" fontId="26" fillId="8" borderId="17" xfId="0" applyNumberFormat="1" applyFont="1" applyFill="1" applyBorder="1" applyAlignment="1" applyProtection="1">
      <alignment horizontal="center" vertical="center"/>
      <protection hidden="1"/>
    </xf>
    <xf numFmtId="3" fontId="26" fillId="8" borderId="10" xfId="0" applyNumberFormat="1" applyFont="1" applyFill="1" applyBorder="1" applyAlignment="1" applyProtection="1">
      <alignment horizontal="center" vertical="center"/>
      <protection hidden="1"/>
    </xf>
    <xf numFmtId="3" fontId="26" fillId="8" borderId="9" xfId="0" applyNumberFormat="1" applyFont="1" applyFill="1" applyBorder="1" applyAlignment="1" applyProtection="1">
      <alignment horizontal="center" vertical="center"/>
      <protection hidden="1"/>
    </xf>
    <xf numFmtId="0" fontId="13" fillId="8" borderId="20" xfId="0" applyFont="1" applyFill="1" applyBorder="1" applyAlignment="1" applyProtection="1">
      <alignment horizontal="center" vertical="center"/>
      <protection hidden="1"/>
    </xf>
    <xf numFmtId="0" fontId="13" fillId="8" borderId="7" xfId="0" applyFont="1" applyFill="1" applyBorder="1" applyAlignment="1" applyProtection="1">
      <alignment horizontal="center" vertical="center"/>
      <protection hidden="1"/>
    </xf>
    <xf numFmtId="0" fontId="13" fillId="8" borderId="21" xfId="0" applyFont="1" applyFill="1" applyBorder="1" applyAlignment="1" applyProtection="1">
      <alignment horizontal="center" vertical="center"/>
      <protection hidden="1"/>
    </xf>
    <xf numFmtId="0" fontId="13" fillId="8" borderId="8" xfId="0" applyFont="1" applyFill="1" applyBorder="1" applyAlignment="1" applyProtection="1">
      <alignment horizontal="center" vertical="center"/>
      <protection hidden="1"/>
    </xf>
    <xf numFmtId="0" fontId="13" fillId="8" borderId="5" xfId="0" applyFont="1" applyFill="1" applyBorder="1" applyAlignment="1" applyProtection="1">
      <alignment horizontal="center" vertical="center"/>
      <protection hidden="1"/>
    </xf>
    <xf numFmtId="0" fontId="13" fillId="8" borderId="4" xfId="0" applyFont="1" applyFill="1" applyBorder="1" applyAlignment="1" applyProtection="1">
      <alignment horizontal="center" vertical="center"/>
      <protection hidden="1"/>
    </xf>
    <xf numFmtId="0" fontId="18" fillId="0" borderId="8" xfId="0" applyFont="1" applyBorder="1" applyAlignment="1" applyProtection="1">
      <alignment horizontal="left" vertical="center" wrapText="1"/>
      <protection hidden="1"/>
    </xf>
    <xf numFmtId="0" fontId="18" fillId="0" borderId="5" xfId="0" applyFont="1" applyBorder="1" applyAlignment="1" applyProtection="1">
      <alignment horizontal="left" vertical="center" wrapText="1"/>
      <protection hidden="1"/>
    </xf>
    <xf numFmtId="0" fontId="18" fillId="0" borderId="4" xfId="0" applyFont="1" applyBorder="1" applyAlignment="1" applyProtection="1">
      <alignment horizontal="left" vertical="center" wrapText="1"/>
      <protection hidden="1"/>
    </xf>
    <xf numFmtId="0" fontId="17" fillId="12" borderId="8" xfId="0" applyFont="1" applyFill="1" applyBorder="1" applyAlignment="1" applyProtection="1">
      <alignment horizontal="center" vertical="center"/>
      <protection hidden="1"/>
    </xf>
    <xf numFmtId="0" fontId="17" fillId="12" borderId="4" xfId="0" applyFont="1" applyFill="1" applyBorder="1" applyAlignment="1" applyProtection="1">
      <alignment horizontal="center" vertical="center"/>
      <protection hidden="1"/>
    </xf>
    <xf numFmtId="0" fontId="13" fillId="8" borderId="10" xfId="0" applyFont="1" applyFill="1" applyBorder="1" applyAlignment="1" applyProtection="1">
      <alignment horizontal="left" vertical="center"/>
      <protection hidden="1"/>
    </xf>
    <xf numFmtId="0" fontId="18" fillId="5" borderId="8" xfId="0" applyFont="1" applyFill="1" applyBorder="1" applyAlignment="1" applyProtection="1">
      <alignment horizontal="left" vertical="center"/>
      <protection hidden="1"/>
    </xf>
    <xf numFmtId="0" fontId="18" fillId="5" borderId="5" xfId="0" applyFont="1" applyFill="1" applyBorder="1" applyAlignment="1" applyProtection="1">
      <alignment horizontal="left" vertical="center"/>
      <protection hidden="1"/>
    </xf>
    <xf numFmtId="0" fontId="18" fillId="5" borderId="4" xfId="0" applyFont="1" applyFill="1" applyBorder="1" applyAlignment="1" applyProtection="1">
      <alignment horizontal="left" vertical="center"/>
      <protection hidden="1"/>
    </xf>
    <xf numFmtId="0" fontId="18" fillId="5" borderId="3" xfId="0" applyFont="1" applyFill="1" applyBorder="1" applyAlignment="1" applyProtection="1">
      <alignment horizontal="left" vertical="center"/>
      <protection hidden="1"/>
    </xf>
    <xf numFmtId="0" fontId="17" fillId="0" borderId="8"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8" fillId="0" borderId="8" xfId="0" applyFont="1" applyFill="1" applyBorder="1" applyAlignment="1" applyProtection="1">
      <alignment horizontal="left" vertical="center" wrapText="1"/>
      <protection hidden="1"/>
    </xf>
    <xf numFmtId="0" fontId="18" fillId="0" borderId="5" xfId="0" applyFont="1" applyFill="1" applyBorder="1" applyAlignment="1" applyProtection="1">
      <alignment horizontal="left" vertical="center" wrapText="1"/>
      <protection hidden="1"/>
    </xf>
    <xf numFmtId="0" fontId="19" fillId="5" borderId="8" xfId="0" applyFont="1" applyFill="1" applyBorder="1" applyAlignment="1" applyProtection="1">
      <alignment horizontal="left" vertical="center"/>
      <protection hidden="1"/>
    </xf>
    <xf numFmtId="0" fontId="19" fillId="5" borderId="5" xfId="0" applyFont="1" applyFill="1" applyBorder="1" applyAlignment="1" applyProtection="1">
      <alignment horizontal="left" vertical="center"/>
      <protection hidden="1"/>
    </xf>
    <xf numFmtId="0" fontId="19" fillId="5" borderId="4" xfId="0" applyFont="1" applyFill="1" applyBorder="1" applyAlignment="1" applyProtection="1">
      <alignment horizontal="left" vertical="center"/>
      <protection hidden="1"/>
    </xf>
    <xf numFmtId="0" fontId="18" fillId="0" borderId="8" xfId="0" applyFont="1" applyBorder="1" applyAlignment="1" applyProtection="1">
      <alignment horizontal="left" vertical="center"/>
      <protection hidden="1"/>
    </xf>
    <xf numFmtId="0" fontId="18" fillId="0" borderId="5" xfId="0" applyFont="1" applyBorder="1" applyAlignment="1" applyProtection="1">
      <alignment horizontal="left" vertical="center"/>
      <protection hidden="1"/>
    </xf>
    <xf numFmtId="0" fontId="18" fillId="0" borderId="4" xfId="0" applyFont="1" applyBorder="1" applyAlignment="1" applyProtection="1">
      <alignment horizontal="left" vertical="center"/>
      <protection hidden="1"/>
    </xf>
    <xf numFmtId="0" fontId="33" fillId="5" borderId="8" xfId="0" applyFont="1" applyFill="1" applyBorder="1" applyAlignment="1" applyProtection="1">
      <alignment horizontal="center" vertical="center"/>
      <protection hidden="1"/>
    </xf>
    <xf numFmtId="0" fontId="33" fillId="5" borderId="4" xfId="0" applyFont="1" applyFill="1" applyBorder="1" applyAlignment="1" applyProtection="1">
      <alignment horizontal="center" vertical="center"/>
      <protection hidden="1"/>
    </xf>
    <xf numFmtId="0" fontId="18" fillId="5" borderId="8" xfId="0" applyFont="1" applyFill="1" applyBorder="1" applyAlignment="1" applyProtection="1">
      <alignment horizontal="left" vertical="center" wrapText="1"/>
      <protection hidden="1"/>
    </xf>
    <xf numFmtId="0" fontId="18" fillId="5" borderId="5" xfId="0" applyFont="1" applyFill="1" applyBorder="1" applyAlignment="1" applyProtection="1">
      <alignment horizontal="left" vertical="center" wrapText="1"/>
      <protection hidden="1"/>
    </xf>
    <xf numFmtId="0" fontId="18" fillId="5" borderId="4" xfId="0" applyFont="1" applyFill="1" applyBorder="1" applyAlignment="1" applyProtection="1">
      <alignment horizontal="left" vertical="center" wrapText="1"/>
      <protection hidden="1"/>
    </xf>
    <xf numFmtId="0" fontId="17" fillId="0" borderId="3" xfId="0" applyFont="1" applyBorder="1" applyAlignment="1" applyProtection="1">
      <alignment horizontal="center"/>
      <protection hidden="1"/>
    </xf>
    <xf numFmtId="9" fontId="40" fillId="4" borderId="12" xfId="5" applyNumberFormat="1" applyFont="1" applyBorder="1" applyAlignment="1" applyProtection="1">
      <alignment horizontal="center"/>
      <protection hidden="1"/>
    </xf>
    <xf numFmtId="9" fontId="40" fillId="4" borderId="13" xfId="5" applyNumberFormat="1" applyFont="1" applyBorder="1" applyAlignment="1" applyProtection="1">
      <alignment horizontal="center"/>
      <protection hidden="1"/>
    </xf>
    <xf numFmtId="0" fontId="18" fillId="5" borderId="0" xfId="0" applyFont="1" applyFill="1" applyAlignment="1" applyProtection="1">
      <alignment horizontal="left" vertical="top" wrapText="1"/>
      <protection hidden="1"/>
    </xf>
    <xf numFmtId="0" fontId="18" fillId="0" borderId="3" xfId="0" applyFont="1" applyBorder="1" applyAlignment="1" applyProtection="1">
      <alignment horizontal="center"/>
      <protection hidden="1"/>
    </xf>
  </cellXfs>
  <cellStyles count="8">
    <cellStyle name="Ausgabe" xfId="4" builtinId="21"/>
    <cellStyle name="Berechnung" xfId="5" builtinId="22"/>
    <cellStyle name="Eingabe" xfId="3" builtinId="20"/>
    <cellStyle name="Komma" xfId="6" builtinId="3"/>
    <cellStyle name="Link" xfId="7" builtinId="8"/>
    <cellStyle name="Prozent" xfId="2" builtinId="5"/>
    <cellStyle name="Standard" xfId="0" builtinId="0"/>
    <cellStyle name="Währung" xfId="1" builtinId="4"/>
  </cellStyles>
  <dxfs count="81">
    <dxf>
      <font>
        <color rgb="FF006100"/>
      </font>
      <fill>
        <patternFill>
          <bgColor rgb="FFC6EFCE"/>
        </patternFill>
      </fill>
    </dxf>
    <dxf>
      <font>
        <color rgb="FF9C0006"/>
      </font>
      <fill>
        <patternFill>
          <bgColor rgb="FFFFC7CE"/>
        </patternFill>
      </fill>
    </dxf>
    <dxf>
      <font>
        <strike val="0"/>
        <outline val="0"/>
        <shadow val="0"/>
        <u val="none"/>
        <vertAlign val="baseline"/>
        <sz val="9"/>
        <color theme="1"/>
        <name val="Avenir Next LT Pro"/>
        <family val="2"/>
        <scheme val="none"/>
      </font>
      <fill>
        <patternFill patternType="solid">
          <fgColor indexed="64"/>
          <bgColor theme="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9"/>
        <color theme="1"/>
        <name val="Avenir Next LT Pro"/>
        <family val="2"/>
        <scheme val="none"/>
      </font>
      <fill>
        <patternFill patternType="solid">
          <fgColor indexed="64"/>
          <bgColor theme="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9"/>
        <color theme="1"/>
        <name val="Avenir Next LT Pro"/>
        <family val="2"/>
        <scheme val="none"/>
      </font>
      <fill>
        <patternFill patternType="solid">
          <fgColor indexed="64"/>
          <bgColor theme="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9"/>
        <color theme="1"/>
        <name val="Avenir Next LT Pro"/>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Avenir Next LT Pro"/>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Avenir Next LT Pro"/>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Avenir Next LT Pro"/>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Avenir Next LT Pro"/>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Avenir Next LT Pro"/>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Avenir Next LT Pro"/>
        <family val="2"/>
        <scheme val="none"/>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Avenir Next LT Pro"/>
        <family val="2"/>
        <scheme val="none"/>
      </font>
      <fill>
        <patternFill patternType="none">
          <fgColor indexed="64"/>
          <bgColor auto="1"/>
        </patternFill>
      </fill>
    </dxf>
    <dxf>
      <font>
        <strike val="0"/>
        <outline val="0"/>
        <shadow val="0"/>
        <u val="none"/>
        <vertAlign val="baseline"/>
        <sz val="9"/>
        <color theme="0"/>
        <name val="Avenir Next LT Pro"/>
        <family val="2"/>
        <scheme val="none"/>
      </font>
      <fill>
        <patternFill patternType="solid">
          <fgColor indexed="64"/>
          <bgColor theme="4"/>
        </patternFill>
      </fill>
      <alignment horizontal="general" vertical="center" textRotation="0" wrapText="1" indent="0" justifyLastLine="0" shrinkToFit="0" readingOrder="0"/>
    </dxf>
    <dxf>
      <font>
        <strike val="0"/>
        <outline val="0"/>
        <shadow val="0"/>
        <u val="none"/>
        <vertAlign val="baseline"/>
        <sz val="9"/>
        <name val="Avenir Next LT Pro"/>
        <family val="2"/>
        <scheme val="none"/>
      </font>
      <numFmt numFmtId="34" formatCode="_-* #,##0.00\ &quot;€&quot;_-;\-* #,##0.00\ &quot;€&quot;_-;_-* &quot;-&quot;??\ &quot;€&quot;_-;_-@_-"/>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numFmt numFmtId="34" formatCode="_-* #,##0.00\ &quot;€&quot;_-;\-* #,##0.00\ &quot;€&quot;_-;_-* &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numFmt numFmtId="34" formatCode="_-* #,##0.00\ &quot;€&quot;_-;\-* #,##0.00\ &quot;€&quot;_-;_-* &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numFmt numFmtId="34" formatCode="_-* #,##0.00\ &quot;€&quot;_-;\-* #,##0.00\ &quot;€&quot;_-;_-* &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9"/>
        <color theme="1"/>
        <name val="Avenir Next LT Pro"/>
        <family val="2"/>
        <scheme val="none"/>
      </font>
      <numFmt numFmtId="173" formatCode="#,##0.0000_ ;\-#,##0.0000\ "/>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numFmt numFmtId="13" formatCode="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numFmt numFmtId="34" formatCode="_-* #,##0.00\ &quot;€&quot;_-;\-* #,##0.00\ &quot;€&quot;_-;_-* &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9"/>
        <color theme="1"/>
        <name val="Avenir Next LT Pro"/>
        <family val="2"/>
        <scheme val="none"/>
      </font>
      <numFmt numFmtId="34" formatCode="_-* #,##0.00\ &quot;€&quot;_-;\-* #,##0.00\ &quot;€&quot;_-;_-* &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9"/>
        <color theme="1"/>
        <name val="Avenir Next LT Pro"/>
        <family val="2"/>
        <scheme val="none"/>
      </font>
      <numFmt numFmtId="173" formatCode="#,##0.0000_ ;\-#,##0.0000\ "/>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9"/>
        <color theme="1"/>
        <name val="Avenir Next LT Pro"/>
        <family val="2"/>
        <scheme val="none"/>
      </font>
      <numFmt numFmtId="34" formatCode="_-* #,##0.00\ &quot;€&quot;_-;\-* #,##0.00\ &quot;€&quot;_-;_-* &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strike val="0"/>
        <outline val="0"/>
        <shadow val="0"/>
        <u val="none"/>
        <vertAlign val="baseline"/>
        <sz val="9"/>
        <name val="Avenir Next LT Pro"/>
        <family val="2"/>
        <scheme val="none"/>
      </font>
      <fill>
        <patternFill patternType="solid">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strike val="0"/>
        <outline val="0"/>
        <shadow val="0"/>
        <u val="none"/>
        <vertAlign val="baseline"/>
        <sz val="9"/>
        <name val="Avenir Next LT Pro"/>
        <family val="2"/>
        <scheme val="none"/>
      </font>
      <fill>
        <patternFill patternType="solid">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name val="Avenir Next LT Pro"/>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9"/>
        <color rgb="FFFF0000"/>
        <name val="Avenir Next LT Pro"/>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9"/>
        <name val="Avenir Next LT Pro"/>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Avenir Next LT Pro"/>
        <family val="2"/>
        <scheme val="none"/>
      </font>
      <alignment horizontal="general" vertical="center" textRotation="0" wrapText="0" indent="0" justifyLastLine="0" shrinkToFit="0" readingOrder="0"/>
      <protection locked="1" hidden="1"/>
    </dxf>
    <dxf>
      <border>
        <bottom style="thin">
          <color indexed="64"/>
        </bottom>
      </border>
    </dxf>
    <dxf>
      <font>
        <strike val="0"/>
        <outline val="0"/>
        <shadow val="0"/>
        <u val="none"/>
        <vertAlign val="baseline"/>
        <sz val="9"/>
        <name val="Avenir Next LT Pro"/>
        <family val="2"/>
        <scheme val="none"/>
      </font>
      <fill>
        <patternFill patternType="solid">
          <fgColor indexed="64"/>
          <bgColor theme="7"/>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rgb="FFC00000"/>
      </font>
      <fill>
        <patternFill>
          <bgColor theme="5" tint="0.79998168889431442"/>
        </patternFill>
      </fill>
    </dxf>
    <dxf>
      <font>
        <b/>
        <i val="0"/>
        <color theme="1"/>
      </font>
      <fill>
        <patternFill patternType="solid">
          <fgColor rgb="FFC7E6A4"/>
          <bgColor rgb="FFC7E6A4"/>
        </patternFill>
      </fill>
    </dxf>
    <dxf>
      <font>
        <b val="0"/>
        <i val="0"/>
        <strike val="0"/>
        <condense val="0"/>
        <extend val="0"/>
        <outline val="0"/>
        <shadow val="0"/>
        <u val="none"/>
        <vertAlign val="baseline"/>
        <sz val="9"/>
        <color theme="1"/>
        <name val="Avenir Next LT Pro"/>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theme="1"/>
        <name val="Avenir Next LT Pro"/>
        <family val="2"/>
        <scheme val="none"/>
      </font>
      <fill>
        <patternFill patternType="none">
          <fgColor indexed="64"/>
          <bgColor indexed="65"/>
        </patternFill>
      </fill>
      <alignment vertical="center" textRotation="0" indent="0" justifyLastLine="0" shrinkToFit="0" readingOrder="0"/>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theme="1"/>
        <name val="Avenir Next LT Pro"/>
        <family val="2"/>
        <scheme val="none"/>
      </font>
      <fill>
        <patternFill patternType="none">
          <fgColor indexed="64"/>
          <bgColor indexed="65"/>
        </patternFill>
      </fill>
      <alignment vertical="center" textRotation="0" indent="0" justifyLastLine="0" shrinkToFit="0" readingOrder="0"/>
      <border diagonalUp="0" diagonalDown="0">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theme="1"/>
        <name val="Avenir Next LT Pro"/>
        <family val="2"/>
        <scheme val="none"/>
      </font>
      <fill>
        <patternFill patternType="none">
          <fgColor indexed="64"/>
          <bgColor indexed="65"/>
        </patternFill>
      </fill>
      <alignment vertical="center" textRotation="0" indent="0" justifyLastLine="0" shrinkToFit="0" readingOrder="0"/>
      <border diagonalUp="0" diagonalDown="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venir Next LT Pro"/>
        <family val="2"/>
        <scheme val="none"/>
      </font>
      <alignment vertical="center" textRotation="0" indent="0" justifyLastLine="0" shrinkToFit="0" readingOrder="0"/>
      <protection locked="1" hidden="1"/>
    </dxf>
    <dxf>
      <border outline="0">
        <bottom style="thin">
          <color indexed="64"/>
        </bottom>
      </border>
    </dxf>
    <dxf>
      <font>
        <strike val="0"/>
        <outline val="0"/>
        <shadow val="0"/>
        <u val="none"/>
        <vertAlign val="baseline"/>
        <name val="Avenir Next LT Pro"/>
        <family val="2"/>
        <scheme val="none"/>
      </font>
      <fill>
        <patternFill patternType="solid">
          <fgColor indexed="64"/>
          <bgColor theme="5"/>
        </patternFill>
      </fill>
      <alignment vertical="center" textRotation="0" indent="0" justifyLastLine="0" shrinkToFit="0" readingOrder="0"/>
      <protection locked="1" hidden="1"/>
    </dxf>
  </dxfs>
  <tableStyles count="0" defaultTableStyle="TableStyleMedium2" defaultPivotStyle="PivotStyleLight16"/>
  <colors>
    <mruColors>
      <color rgb="FFC7E6A4"/>
      <color rgb="FFFCE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687387</xdr:colOff>
      <xdr:row>0</xdr:row>
      <xdr:rowOff>139765</xdr:rowOff>
    </xdr:from>
    <xdr:to>
      <xdr:col>13</xdr:col>
      <xdr:colOff>767001</xdr:colOff>
      <xdr:row>0</xdr:row>
      <xdr:rowOff>532591</xdr:rowOff>
    </xdr:to>
    <xdr:grpSp>
      <xdr:nvGrpSpPr>
        <xdr:cNvPr id="2" name="Gruppieren 1">
          <a:extLst>
            <a:ext uri="{FF2B5EF4-FFF2-40B4-BE49-F238E27FC236}">
              <a16:creationId xmlns:a16="http://schemas.microsoft.com/office/drawing/2014/main" id="{C530A771-CE79-44BB-BB08-19372D8C2F0D}"/>
            </a:ext>
          </a:extLst>
        </xdr:cNvPr>
        <xdr:cNvGrpSpPr/>
      </xdr:nvGrpSpPr>
      <xdr:grpSpPr>
        <a:xfrm>
          <a:off x="8624887" y="139765"/>
          <a:ext cx="5254864" cy="392826"/>
          <a:chOff x="6986588" y="22287"/>
          <a:chExt cx="5599351" cy="396000"/>
        </a:xfrm>
      </xdr:grpSpPr>
      <xdr:pic>
        <xdr:nvPicPr>
          <xdr:cNvPr id="7" name="Grafik 6">
            <a:extLst>
              <a:ext uri="{FF2B5EF4-FFF2-40B4-BE49-F238E27FC236}">
                <a16:creationId xmlns:a16="http://schemas.microsoft.com/office/drawing/2014/main" id="{B1EE302F-9C38-4835-8F21-21D2B0E5009F}"/>
              </a:ext>
            </a:extLst>
          </xdr:cNvPr>
          <xdr:cNvPicPr>
            <a:picLocks noChangeAspect="1"/>
          </xdr:cNvPicPr>
        </xdr:nvPicPr>
        <xdr:blipFill>
          <a:blip xmlns:r="http://schemas.openxmlformats.org/officeDocument/2006/relationships" r:embed="rId1"/>
          <a:stretch>
            <a:fillRect/>
          </a:stretch>
        </xdr:blipFill>
        <xdr:spPr>
          <a:xfrm>
            <a:off x="8677729" y="112287"/>
            <a:ext cx="1371733" cy="216000"/>
          </a:xfrm>
          <a:prstGeom prst="rect">
            <a:avLst/>
          </a:prstGeom>
        </xdr:spPr>
      </xdr:pic>
      <xdr:pic>
        <xdr:nvPicPr>
          <xdr:cNvPr id="8" name="logo-header">
            <a:extLst>
              <a:ext uri="{FF2B5EF4-FFF2-40B4-BE49-F238E27FC236}">
                <a16:creationId xmlns:a16="http://schemas.microsoft.com/office/drawing/2014/main" id="{2B659759-B75A-4BC6-A359-A9DE8DF83B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6588" y="40287"/>
            <a:ext cx="1502728"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Grafik 8" descr="inspiring-health GmbH | LinkedIn">
            <a:extLst>
              <a:ext uri="{FF2B5EF4-FFF2-40B4-BE49-F238E27FC236}">
                <a16:creationId xmlns:a16="http://schemas.microsoft.com/office/drawing/2014/main" id="{BC2FDEE2-7F7C-4CFB-8EA4-792A23D1C9E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30750" b="31500"/>
          <a:stretch/>
        </xdr:blipFill>
        <xdr:spPr bwMode="auto">
          <a:xfrm>
            <a:off x="10237875" y="22287"/>
            <a:ext cx="960852" cy="396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Grafik 9">
            <a:extLst>
              <a:ext uri="{FF2B5EF4-FFF2-40B4-BE49-F238E27FC236}">
                <a16:creationId xmlns:a16="http://schemas.microsoft.com/office/drawing/2014/main" id="{0708896E-064E-4651-968D-BB5F26AAB91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87139" y="22287"/>
            <a:ext cx="1198800" cy="3960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1193805</xdr:colOff>
      <xdr:row>0</xdr:row>
      <xdr:rowOff>191242</xdr:rowOff>
    </xdr:from>
    <xdr:to>
      <xdr:col>3</xdr:col>
      <xdr:colOff>2684706</xdr:colOff>
      <xdr:row>1</xdr:row>
      <xdr:rowOff>84004</xdr:rowOff>
    </xdr:to>
    <xdr:grpSp>
      <xdr:nvGrpSpPr>
        <xdr:cNvPr id="6" name="Gruppieren 5">
          <a:extLst>
            <a:ext uri="{FF2B5EF4-FFF2-40B4-BE49-F238E27FC236}">
              <a16:creationId xmlns:a16="http://schemas.microsoft.com/office/drawing/2014/main" id="{D532FB9A-B93E-4A77-82DB-0837AE63103A}"/>
            </a:ext>
          </a:extLst>
        </xdr:cNvPr>
        <xdr:cNvGrpSpPr/>
      </xdr:nvGrpSpPr>
      <xdr:grpSpPr>
        <a:xfrm>
          <a:off x="7061205" y="191242"/>
          <a:ext cx="5440601" cy="394412"/>
          <a:chOff x="6567493" y="105517"/>
          <a:chExt cx="5561251" cy="396000"/>
        </a:xfrm>
      </xdr:grpSpPr>
      <xdr:pic>
        <xdr:nvPicPr>
          <xdr:cNvPr id="2" name="Grafik 1">
            <a:extLst>
              <a:ext uri="{FF2B5EF4-FFF2-40B4-BE49-F238E27FC236}">
                <a16:creationId xmlns:a16="http://schemas.microsoft.com/office/drawing/2014/main" id="{F8E7508A-0A70-4636-A424-D197A8F67561}"/>
              </a:ext>
            </a:extLst>
          </xdr:cNvPr>
          <xdr:cNvPicPr>
            <a:picLocks noChangeAspect="1"/>
          </xdr:cNvPicPr>
        </xdr:nvPicPr>
        <xdr:blipFill>
          <a:blip xmlns:r="http://schemas.openxmlformats.org/officeDocument/2006/relationships" r:embed="rId1"/>
          <a:stretch>
            <a:fillRect/>
          </a:stretch>
        </xdr:blipFill>
        <xdr:spPr>
          <a:xfrm>
            <a:off x="8493307" y="195517"/>
            <a:ext cx="1272868" cy="216000"/>
          </a:xfrm>
          <a:prstGeom prst="rect">
            <a:avLst/>
          </a:prstGeom>
        </xdr:spPr>
      </xdr:pic>
      <xdr:pic>
        <xdr:nvPicPr>
          <xdr:cNvPr id="3" name="logo-header">
            <a:extLst>
              <a:ext uri="{FF2B5EF4-FFF2-40B4-BE49-F238E27FC236}">
                <a16:creationId xmlns:a16="http://schemas.microsoft.com/office/drawing/2014/main" id="{004EC9BE-083A-41C2-A941-E36CFCAF65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7493" y="123517"/>
            <a:ext cx="1800681" cy="3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Grafik 3" descr="inspiring-health GmbH | LinkedIn">
            <a:extLst>
              <a:ext uri="{FF2B5EF4-FFF2-40B4-BE49-F238E27FC236}">
                <a16:creationId xmlns:a16="http://schemas.microsoft.com/office/drawing/2014/main" id="{BCFCB57B-8719-4DD9-9F0A-BA9A0381487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30750" b="31500"/>
          <a:stretch/>
        </xdr:blipFill>
        <xdr:spPr bwMode="auto">
          <a:xfrm>
            <a:off x="9891308" y="105517"/>
            <a:ext cx="913503" cy="396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Grafik 4">
            <a:extLst>
              <a:ext uri="{FF2B5EF4-FFF2-40B4-BE49-F238E27FC236}">
                <a16:creationId xmlns:a16="http://schemas.microsoft.com/office/drawing/2014/main" id="{81D03B8B-AB55-41FE-B7F9-1E850E5DAC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929944" y="105517"/>
            <a:ext cx="1198800" cy="3960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1324058</xdr:colOff>
      <xdr:row>0</xdr:row>
      <xdr:rowOff>112059</xdr:rowOff>
    </xdr:from>
    <xdr:to>
      <xdr:col>13</xdr:col>
      <xdr:colOff>108886</xdr:colOff>
      <xdr:row>0</xdr:row>
      <xdr:rowOff>483905</xdr:rowOff>
    </xdr:to>
    <xdr:grpSp>
      <xdr:nvGrpSpPr>
        <xdr:cNvPr id="2" name="Gruppieren 1">
          <a:extLst>
            <a:ext uri="{FF2B5EF4-FFF2-40B4-BE49-F238E27FC236}">
              <a16:creationId xmlns:a16="http://schemas.microsoft.com/office/drawing/2014/main" id="{D7F4C1F2-8A83-466F-B953-EA359E0AFB80}"/>
            </a:ext>
          </a:extLst>
        </xdr:cNvPr>
        <xdr:cNvGrpSpPr/>
      </xdr:nvGrpSpPr>
      <xdr:grpSpPr>
        <a:xfrm>
          <a:off x="10341058" y="112059"/>
          <a:ext cx="4916106" cy="371846"/>
          <a:chOff x="8955264" y="128365"/>
          <a:chExt cx="5950990" cy="467599"/>
        </a:xfrm>
      </xdr:grpSpPr>
      <xdr:pic>
        <xdr:nvPicPr>
          <xdr:cNvPr id="7" name="Grafik 6">
            <a:extLst>
              <a:ext uri="{FF2B5EF4-FFF2-40B4-BE49-F238E27FC236}">
                <a16:creationId xmlns:a16="http://schemas.microsoft.com/office/drawing/2014/main" id="{2B511948-F59A-4CB8-9AC0-D6BFB06169D8}"/>
              </a:ext>
            </a:extLst>
          </xdr:cNvPr>
          <xdr:cNvPicPr>
            <a:picLocks noChangeAspect="1"/>
          </xdr:cNvPicPr>
        </xdr:nvPicPr>
        <xdr:blipFill>
          <a:blip xmlns:r="http://schemas.openxmlformats.org/officeDocument/2006/relationships" r:embed="rId1"/>
          <a:stretch>
            <a:fillRect/>
          </a:stretch>
        </xdr:blipFill>
        <xdr:spPr>
          <a:xfrm>
            <a:off x="10771016" y="247708"/>
            <a:ext cx="1344583" cy="228912"/>
          </a:xfrm>
          <a:prstGeom prst="rect">
            <a:avLst/>
          </a:prstGeom>
        </xdr:spPr>
      </xdr:pic>
      <xdr:pic>
        <xdr:nvPicPr>
          <xdr:cNvPr id="8" name="logo-header">
            <a:extLst>
              <a:ext uri="{FF2B5EF4-FFF2-40B4-BE49-F238E27FC236}">
                <a16:creationId xmlns:a16="http://schemas.microsoft.com/office/drawing/2014/main" id="{12C3813B-BDC8-4C0D-81B4-B95A118109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5264" y="169397"/>
            <a:ext cx="1634609" cy="3855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Grafik 8" descr="inspiring-health GmbH | LinkedIn">
            <a:extLst>
              <a:ext uri="{FF2B5EF4-FFF2-40B4-BE49-F238E27FC236}">
                <a16:creationId xmlns:a16="http://schemas.microsoft.com/office/drawing/2014/main" id="{0F230ECE-FCCA-4EC9-8A28-49C52F7EE72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30750" b="31500"/>
          <a:stretch/>
        </xdr:blipFill>
        <xdr:spPr bwMode="auto">
          <a:xfrm>
            <a:off x="12296742" y="143089"/>
            <a:ext cx="1015580" cy="4381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Grafik 9">
            <a:extLst>
              <a:ext uri="{FF2B5EF4-FFF2-40B4-BE49-F238E27FC236}">
                <a16:creationId xmlns:a16="http://schemas.microsoft.com/office/drawing/2014/main" id="{D43EF4F6-F437-47FC-B288-433C6EACF7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493466" y="128365"/>
            <a:ext cx="1412788" cy="467599"/>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pie%20von%20Sachkostenrechner_PSIX_V09_inkl.Deckbla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Modellprämissen"/>
      <sheetName val="Sachkostenrechner"/>
      <sheetName val="Testdaten"/>
      <sheetName val="Preistabelle"/>
      <sheetName val="LBFW"/>
      <sheetName val="16.03 Ausbruch WHO"/>
      <sheetName val="vor Pandemie"/>
    </sheetNames>
    <sheetDataSet>
      <sheetData sheetId="0" refreshError="1"/>
      <sheetData sheetId="1" refreshError="1"/>
      <sheetData sheetId="2">
        <row r="8">
          <cell r="E8">
            <v>350</v>
          </cell>
          <cell r="I8">
            <v>35</v>
          </cell>
        </row>
        <row r="9">
          <cell r="E9">
            <v>0.8</v>
          </cell>
          <cell r="I9">
            <v>0.9</v>
          </cell>
        </row>
        <row r="15">
          <cell r="O15">
            <v>0.14499999999999999</v>
          </cell>
          <cell r="Q15">
            <v>0.17399999999999999</v>
          </cell>
        </row>
        <row r="21">
          <cell r="O21">
            <v>4.8</v>
          </cell>
          <cell r="Q21">
            <v>93.534999999999997</v>
          </cell>
        </row>
        <row r="29">
          <cell r="O29">
            <v>11.27</v>
          </cell>
          <cell r="Q29">
            <v>123.03999999999999</v>
          </cell>
        </row>
        <row r="32">
          <cell r="F32">
            <v>50</v>
          </cell>
          <cell r="K32">
            <v>50</v>
          </cell>
        </row>
        <row r="38">
          <cell r="O38">
            <v>16.149999999999999</v>
          </cell>
          <cell r="Q38">
            <v>180.24</v>
          </cell>
        </row>
      </sheetData>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4AD62D-E225-4749-908B-C522A5D1DAD2}" name="Tabelle1" displayName="Tabelle1" ref="A3:D15" totalsRowShown="0" headerRowDxfId="80" dataDxfId="78" headerRowBorderDxfId="79" tableBorderDxfId="77" totalsRowBorderDxfId="76">
  <tableColumns count="4">
    <tableColumn id="9" xr3:uid="{0D315A4F-D1DB-431D-9928-D1CEA41E636D}" name="lfd. Nr." dataDxfId="75"/>
    <tableColumn id="1" xr3:uid="{2FF13BC6-AACA-4EB2-A3BD-05EE9FFC8FE5}" name="Rechengröße" dataDxfId="74"/>
    <tableColumn id="2" xr3:uid="{E653C6E6-BA88-42B7-9F56-60D89F11A1FA}" name="Erläuterung" dataDxfId="73"/>
    <tableColumn id="3" xr3:uid="{0BE7BF61-309F-4234-AE04-94C1249B943C}" name="Zeitraum" dataDxfId="72"/>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14BC5A-121F-4AF9-9F3B-E531AE6BC035}" name="Tabelle2" displayName="Tabelle2" ref="B13:V18" totalsRowShown="0" headerRowDxfId="47" dataDxfId="45" headerRowBorderDxfId="46" tableBorderDxfId="44" totalsRowBorderDxfId="43">
  <tableColumns count="21">
    <tableColumn id="1" xr3:uid="{BD14B5B1-8817-4AF1-8C54-932D966F16D1}" name="Patientengruppe" dataDxfId="42"/>
    <tableColumn id="2" xr3:uid="{6C0B33D4-D71A-4448-BF6C-B9EA2D471D97}" name="DRG" dataDxfId="41">
      <calculatedColumnFormula>ICD_OPS!Q5</calculatedColumnFormula>
    </tableColumn>
    <tableColumn id="3" xr3:uid="{8F334FCF-EF32-4B5E-8FEF-2A11A27597CA}" name="CMI" dataDxfId="40">
      <calculatedColumnFormula>ICD_OPS!R5</calculatedColumnFormula>
    </tableColumn>
    <tableColumn id="5" xr3:uid="{A2622C1B-C4C1-4BDC-B163-A029FC08A90C}" name="PMI/d" dataDxfId="39">
      <calculatedColumnFormula>ICD_OPS!S5</calculatedColumnFormula>
    </tableColumn>
    <tableColumn id="4" xr3:uid="{374EB133-39C0-474A-9854-649087EF7324}" name="mVD" dataDxfId="38"/>
    <tableColumn id="7" xr3:uid="{62070388-7F7F-4DC6-8606-6A6769C0274E}" name="VwD" dataDxfId="37"/>
    <tableColumn id="8" xr3:uid="{F0E21882-2118-43BB-96CE-8BA38152F4F5}" name="ICU-Tage" dataDxfId="36"/>
    <tableColumn id="9" xr3:uid="{1205CFFC-BEB6-483B-AAA9-2C8672012022}" name="Erlös DRG/Fall" dataDxfId="35">
      <calculatedColumnFormula>D14*BFW_2020</calculatedColumnFormula>
    </tableColumn>
    <tableColumn id="21" xr3:uid="{2219155B-2263-496B-AA18-5B5EE3B3E463}" name="PMI / Fall" dataDxfId="34">
      <calculatedColumnFormula>Tabelle2[[#This Row],[PMI/d]]*Tabelle2[[#This Row],[VwD]]</calculatedColumnFormula>
    </tableColumn>
    <tableColumn id="10" xr3:uid="{C79DD915-32B0-4264-AA0F-279097C0ACB0}" name="Erlös Pflege/Fall" dataDxfId="33">
      <calculatedColumnFormula>G14*E14*PEW_NEU</calculatedColumnFormula>
    </tableColumn>
    <tableColumn id="11" xr3:uid="{840E5E1E-3A99-4493-BB72-4E54301ACACD}" name="Erlös ZE" dataDxfId="32"/>
    <tableColumn id="12" xr3:uid="{FAA224D4-0048-4272-8F2B-184F39123AD3}" name="Erlös gesamt" dataDxfId="31">
      <calculatedColumnFormula>SUM(I14:L14)</calculatedColumnFormula>
    </tableColumn>
    <tableColumn id="13" xr3:uid="{69435E39-2B3B-4DB6-8FC6-DAD595B222A9}" name="Verteilung" dataDxfId="30"/>
    <tableColumn id="14" xr3:uid="{34CEA5E5-2437-4AC8-8897-A6AA5D20414A}" name="Fälle" dataDxfId="29">
      <calculatedColumnFormula>ROUND(F_COVID*N14*C4,0)</calculatedColumnFormula>
    </tableColumn>
    <tableColumn id="16" xr3:uid="{1F9FC519-E81A-4EDB-8042-BBCDB0CBC371}" name="Tage" dataDxfId="28">
      <calculatedColumnFormula>Tabelle2[[#This Row],[Fälle]]*Tabelle2[[#This Row],[VwD]]</calculatedColumnFormula>
    </tableColumn>
    <tableColumn id="17" xr3:uid="{F67D0C7E-7B0A-409B-B217-ED715B020977}" name="CM" dataDxfId="27">
      <calculatedColumnFormula>Tabelle2[[#This Row],[Fälle]]*Tabelle2[[#This Row],[CMI]]</calculatedColumnFormula>
    </tableColumn>
    <tableColumn id="20" xr3:uid="{DD1BCC56-7CCC-4279-A261-1EB2789A7A02}" name="PM" dataDxfId="26">
      <calculatedColumnFormula>Tabelle2[[#This Row],[VwD]]*Tabelle2[[#This Row],[PMI/d]]*Tabelle2[[#This Row],[Fälle]]</calculatedColumnFormula>
    </tableColumn>
    <tableColumn id="19" xr3:uid="{A4EBF312-6F6A-4131-A215-4CB4BB497347}" name="DRG - Erlös" dataDxfId="25">
      <calculatedColumnFormula>Tabelle2[[#This Row],[Erlös DRG/Fall]]*Tabelle2[[#This Row],[Fälle]]</calculatedColumnFormula>
    </tableColumn>
    <tableColumn id="18" xr3:uid="{5CBF5937-31D9-4422-B9AC-2700D8F2AF81}" name="Pflege-Erlös (PEW = 185)" dataDxfId="24">
      <calculatedColumnFormula>Tabelle2[[#This Row],[Erlös Pflege/Fall]]*Tabelle2[[#This Row],[Fälle]]</calculatedColumnFormula>
    </tableColumn>
    <tableColumn id="6" xr3:uid="{0C515394-BD63-4ABC-BAF3-1F838D8817C4}" name="ZE" dataDxfId="23"/>
    <tableColumn id="15" xr3:uid="{27A2B64A-2D6D-4CFA-AAE1-51FB2CC897B8}" name="ZE - Erlös" dataDxfId="22">
      <calculatedColumnFormula>Tabelle2[[#This Row],[Erlös ZE]]*Tabelle2[[#This Row],[Fälle]]</calculatedColumnFormula>
    </tableColumn>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67412B-3BA0-4C10-88FC-4E3059F7493D}" name="Tabelle3" displayName="Tabelle3" ref="B4:S9" totalsRowShown="0" headerRowDxfId="21" dataDxfId="20">
  <tableColumns count="18">
    <tableColumn id="1" xr3:uid="{47097CDA-7AF5-467C-B23E-5AD2061091E7}" name="Gruppe" dataDxfId="19"/>
    <tableColumn id="19" xr3:uid="{07DE0C8E-9D86-4FC8-AACA-A8CB18BAAF4A}" name="VwD" dataDxfId="18"/>
    <tableColumn id="18" xr3:uid="{775C7421-26E8-4D06-8DBF-5820DD51EE90}" name="ICU-Tage (Basis für TISS/SAPS)" dataDxfId="17"/>
    <tableColumn id="2" xr3:uid="{8A3A23DD-0D56-409D-A021-EF6F0F5FF79C}" name="HD" dataDxfId="16"/>
    <tableColumn id="3" xr3:uid="{D12AB03D-4201-46EE-B17B-9485AF459A69}" name="ND1" dataDxfId="15"/>
    <tableColumn id="4" xr3:uid="{4908145E-B79F-4689-B3CB-7E614DB1A93D}" name="ND2" dataDxfId="14"/>
    <tableColumn id="17" xr3:uid="{F3820F5D-8476-4D50-8261-1CD9BDEFB2CE}" name="ND3" dataDxfId="13"/>
    <tableColumn id="6" xr3:uid="{E4C9C87B-0EA6-4A66-A2A7-50A1FFBB2116}" name="ND4" dataDxfId="12"/>
    <tableColumn id="13" xr3:uid="{E8500D08-2C4F-4830-9E5E-0ED8D024C47C}" name="Beatmung (h)" dataDxfId="11"/>
    <tableColumn id="7" xr3:uid="{731552AC-7467-41B2-B8DE-190EFDFF94B0}" name="OPS1" dataDxfId="10"/>
    <tableColumn id="8" xr3:uid="{C7DEC5CA-28AF-452B-8A00-1FEABDAE6D7C}" name="OPS2" dataDxfId="9"/>
    <tableColumn id="9" xr3:uid="{CC317AD6-A8EF-49EA-82E9-AA3DC3CC8946}" name="OPS3" dataDxfId="8"/>
    <tableColumn id="10" xr3:uid="{91D29A20-53AA-48A4-968B-DBD62A7C085E}" name="OPS4" dataDxfId="7"/>
    <tableColumn id="11" xr3:uid="{3F7B326C-96FF-4735-AEB5-E7E2954C21B2}" name="OPS5" dataDxfId="6"/>
    <tableColumn id="12" xr3:uid="{68B388CF-12E4-4BB2-B434-2CC937527B95}" name="OPS6" dataDxfId="5"/>
    <tableColumn id="14" xr3:uid="{420F9546-5DC4-46FC-B7A6-1F0F2E5B4A39}" name="aG-DRG 2020" dataDxfId="4"/>
    <tableColumn id="15" xr3:uid="{35F77803-D2B4-4C61-90D3-BE0EDAE89421}" name="BewRel" dataDxfId="3"/>
    <tableColumn id="16" xr3:uid="{2D51DD91-960E-409C-8663-CC89DE86C429}" name="Pflegeerlösrelation pro Tag" dataDxfId="2"/>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Vicondo neues Design">
      <a:dk1>
        <a:srgbClr val="000000"/>
      </a:dk1>
      <a:lt1>
        <a:sysClr val="window" lastClr="FFFFFF"/>
      </a:lt1>
      <a:dk2>
        <a:srgbClr val="E8E8E4"/>
      </a:dk2>
      <a:lt2>
        <a:srgbClr val="52555C"/>
      </a:lt2>
      <a:accent1>
        <a:srgbClr val="00354C"/>
      </a:accent1>
      <a:accent2>
        <a:srgbClr val="EC6726"/>
      </a:accent2>
      <a:accent3>
        <a:srgbClr val="82C7D0"/>
      </a:accent3>
      <a:accent4>
        <a:srgbClr val="9D9D9C"/>
      </a:accent4>
      <a:accent5>
        <a:srgbClr val="C8C8C8"/>
      </a:accent5>
      <a:accent6>
        <a:srgbClr val="005E65"/>
      </a:accent6>
      <a:hlink>
        <a:srgbClr val="1D4477"/>
      </a:hlink>
      <a:folHlink>
        <a:srgbClr val="1D447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ichael.wilke@inspiring-health.de?subject=Ihr%20COVID-19%20Budgetsimulationstool" TargetMode="External"/><Relationship Id="rId2" Type="http://schemas.openxmlformats.org/officeDocument/2006/relationships/hyperlink" Target="mailto:joerg.risse@vicondo-healthcare.de?subject=Ihr%20COVID-19%20Budgetsimulationstool" TargetMode="External"/><Relationship Id="rId1" Type="http://schemas.openxmlformats.org/officeDocument/2006/relationships/hyperlink" Target="mailto:steffen.gramminger@hkg-online.de?subject=Ihr%20COVID-19%20Budgetsimulationstoo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972F-8651-445A-BA1F-DAB3757A0CDE}">
  <sheetPr>
    <tabColor theme="8"/>
  </sheetPr>
  <dimension ref="A1:N15"/>
  <sheetViews>
    <sheetView workbookViewId="0">
      <selection activeCell="J17" sqref="J17"/>
    </sheetView>
  </sheetViews>
  <sheetFormatPr baseColWidth="10" defaultColWidth="11.36328125" defaultRowHeight="14.5" x14ac:dyDescent="0.35"/>
  <cols>
    <col min="1" max="11" width="11.36328125" style="15"/>
    <col min="12" max="12" width="51.36328125" style="15" customWidth="1"/>
    <col min="13" max="16384" width="11.36328125" style="15"/>
  </cols>
  <sheetData>
    <row r="1" spans="1:14" ht="50.25" customHeight="1" x14ac:dyDescent="0.35"/>
    <row r="2" spans="1:14" ht="20.5" x14ac:dyDescent="0.45">
      <c r="A2" s="16" t="s">
        <v>159</v>
      </c>
    </row>
    <row r="4" spans="1:14" ht="210" customHeight="1" x14ac:dyDescent="0.35">
      <c r="A4" s="236" t="s">
        <v>247</v>
      </c>
      <c r="B4" s="237"/>
      <c r="C4" s="237"/>
      <c r="D4" s="237"/>
      <c r="E4" s="237"/>
      <c r="F4" s="237"/>
      <c r="G4" s="237"/>
      <c r="H4" s="237"/>
      <c r="I4" s="237"/>
      <c r="J4" s="237"/>
      <c r="K4" s="237"/>
      <c r="L4" s="237"/>
      <c r="M4" s="238" t="s">
        <v>248</v>
      </c>
      <c r="N4" s="239"/>
    </row>
    <row r="5" spans="1:14" x14ac:dyDescent="0.35">
      <c r="A5" s="240" t="s">
        <v>219</v>
      </c>
      <c r="B5" s="240"/>
      <c r="C5" s="240"/>
      <c r="D5" s="240"/>
      <c r="E5" s="240"/>
      <c r="F5" s="240"/>
      <c r="G5" s="240"/>
      <c r="H5" s="240"/>
      <c r="I5" s="240"/>
      <c r="J5" s="240"/>
      <c r="K5" s="240"/>
      <c r="L5" s="240"/>
    </row>
    <row r="6" spans="1:14" x14ac:dyDescent="0.35">
      <c r="A6" s="240" t="s">
        <v>220</v>
      </c>
      <c r="B6" s="240"/>
      <c r="C6" s="240"/>
      <c r="D6" s="240"/>
      <c r="E6" s="240"/>
      <c r="F6" s="240"/>
      <c r="G6" s="240"/>
      <c r="H6" s="240"/>
      <c r="I6" s="240"/>
      <c r="J6" s="240"/>
      <c r="K6" s="240"/>
      <c r="L6" s="240"/>
    </row>
    <row r="7" spans="1:14" x14ac:dyDescent="0.35">
      <c r="A7" s="240" t="s">
        <v>221</v>
      </c>
      <c r="B7" s="240"/>
      <c r="C7" s="240"/>
      <c r="D7" s="240"/>
      <c r="E7" s="240"/>
      <c r="F7" s="240"/>
      <c r="G7" s="240"/>
      <c r="H7" s="240"/>
      <c r="I7" s="240"/>
      <c r="J7" s="240"/>
      <c r="K7" s="240"/>
      <c r="L7" s="240"/>
    </row>
    <row r="8" spans="1:14" ht="52.5" customHeight="1" x14ac:dyDescent="0.35">
      <c r="A8" s="234" t="s">
        <v>222</v>
      </c>
      <c r="B8" s="235"/>
      <c r="C8" s="235"/>
      <c r="D8" s="235"/>
      <c r="E8" s="235"/>
      <c r="F8" s="235"/>
      <c r="G8" s="235"/>
      <c r="H8" s="235"/>
      <c r="I8" s="235"/>
      <c r="J8" s="235"/>
      <c r="K8" s="235"/>
      <c r="L8" s="235"/>
    </row>
    <row r="15" spans="1:14" ht="11.25" customHeight="1" x14ac:dyDescent="0.35"/>
  </sheetData>
  <sheetProtection algorithmName="SHA-512" hashValue="HKU79UEWzgBJC/swv0br8RSnrfsdWed3rd+mTDp4gOVRkzBS680hlfP0z1XUzwxvkKepfcdhpIMRXbcOuIi9VQ==" saltValue="y75oBwB9OkrYoD6xEHk9Pw==" spinCount="100000" sheet="1" objects="1" scenarios="1"/>
  <mergeCells count="6">
    <mergeCell ref="A8:L8"/>
    <mergeCell ref="A4:L4"/>
    <mergeCell ref="M4:N4"/>
    <mergeCell ref="A5:L5"/>
    <mergeCell ref="A6:L6"/>
    <mergeCell ref="A7:L7"/>
  </mergeCells>
  <hyperlinks>
    <hyperlink ref="A5:L5" r:id="rId1" display="Prof. Dr. med. Steffen Gramminger, Geschäftsführer der hessischen Krankenhausgesellschaft, Leiter Department Medizinmanagement, Medical School Hamburg - steffen.gramminger@hkg-online.de" xr:uid="{6CB8700E-E33E-444D-BA74-B930A9E7464B}"/>
    <hyperlink ref="A6:L6" r:id="rId2" display="Dr. Jörg Risse, Geschäftsführer Vicondo Healthcare GmbH - joerg.risse@vicondo-healthcare.de " xr:uid="{599ABF15-B56C-4A92-A459-B28E4782FB19}"/>
    <hyperlink ref="A7:L7" r:id="rId3" display="Prof. Dr. med. Michael Wilke, Geschäftsführer inspiring-health GmbH, Professor für Krankenhausmanagement, Medical School Hamburg - michael.wilke@inspiring-healh.de " xr:uid="{26D62D34-F390-4AA3-AB09-C0F6A6F75397}"/>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82968-60C2-4389-9D25-9AA7E0AE39C3}">
  <sheetPr>
    <tabColor theme="8"/>
  </sheetPr>
  <dimension ref="A1:E24"/>
  <sheetViews>
    <sheetView workbookViewId="0">
      <selection activeCell="A18" sqref="A18:D23"/>
    </sheetView>
  </sheetViews>
  <sheetFormatPr baseColWidth="10" defaultColWidth="11.36328125" defaultRowHeight="14.5" x14ac:dyDescent="0.35"/>
  <cols>
    <col min="1" max="1" width="9.36328125" style="15" customWidth="1"/>
    <col min="2" max="2" width="74.6328125" style="15" customWidth="1"/>
    <col min="3" max="3" width="57" style="15" bestFit="1" customWidth="1"/>
    <col min="4" max="4" width="38" style="15" customWidth="1"/>
    <col min="5" max="11" width="11.36328125" style="15"/>
    <col min="12" max="12" width="40.6328125" style="15" customWidth="1"/>
    <col min="13" max="16384" width="11.36328125" style="15"/>
  </cols>
  <sheetData>
    <row r="1" spans="1:4" ht="39.75" customHeight="1" x14ac:dyDescent="0.35"/>
    <row r="2" spans="1:4" ht="18.75" customHeight="1" x14ac:dyDescent="0.55000000000000004">
      <c r="A2" s="17" t="s">
        <v>54</v>
      </c>
      <c r="B2" s="18"/>
    </row>
    <row r="3" spans="1:4" x14ac:dyDescent="0.35">
      <c r="A3" s="19" t="s">
        <v>62</v>
      </c>
      <c r="B3" s="20" t="s">
        <v>55</v>
      </c>
      <c r="C3" s="21" t="s">
        <v>4</v>
      </c>
      <c r="D3" s="22" t="s">
        <v>50</v>
      </c>
    </row>
    <row r="4" spans="1:4" x14ac:dyDescent="0.35">
      <c r="A4" s="23">
        <v>1</v>
      </c>
      <c r="B4" s="24" t="s">
        <v>63</v>
      </c>
      <c r="C4" s="25" t="s">
        <v>56</v>
      </c>
      <c r="D4" s="26" t="s">
        <v>57</v>
      </c>
    </row>
    <row r="5" spans="1:4" x14ac:dyDescent="0.35">
      <c r="A5" s="27">
        <v>2</v>
      </c>
      <c r="B5" s="27" t="s">
        <v>64</v>
      </c>
      <c r="C5" s="28" t="s">
        <v>58</v>
      </c>
      <c r="D5" s="29" t="s">
        <v>59</v>
      </c>
    </row>
    <row r="6" spans="1:4" x14ac:dyDescent="0.35">
      <c r="A6" s="23">
        <v>3</v>
      </c>
      <c r="B6" s="24" t="s">
        <v>67</v>
      </c>
      <c r="C6" s="25" t="s">
        <v>58</v>
      </c>
      <c r="D6" s="30" t="s">
        <v>59</v>
      </c>
    </row>
    <row r="7" spans="1:4" x14ac:dyDescent="0.35">
      <c r="A7" s="27">
        <v>4</v>
      </c>
      <c r="B7" s="27" t="s">
        <v>71</v>
      </c>
      <c r="C7" s="28" t="s">
        <v>58</v>
      </c>
      <c r="D7" s="29" t="s">
        <v>59</v>
      </c>
    </row>
    <row r="8" spans="1:4" x14ac:dyDescent="0.35">
      <c r="A8" s="23">
        <v>5</v>
      </c>
      <c r="B8" s="24" t="s">
        <v>65</v>
      </c>
      <c r="C8" s="25" t="s">
        <v>206</v>
      </c>
      <c r="D8" s="26" t="s">
        <v>66</v>
      </c>
    </row>
    <row r="9" spans="1:4" x14ac:dyDescent="0.35">
      <c r="A9" s="27">
        <v>6</v>
      </c>
      <c r="B9" s="27" t="s">
        <v>69</v>
      </c>
      <c r="C9" s="28" t="s">
        <v>68</v>
      </c>
      <c r="D9" s="29" t="s">
        <v>70</v>
      </c>
    </row>
    <row r="10" spans="1:4" s="32" customFormat="1" ht="24" x14ac:dyDescent="0.35">
      <c r="A10" s="23">
        <v>7</v>
      </c>
      <c r="B10" s="24" t="s">
        <v>72</v>
      </c>
      <c r="C10" s="31" t="s">
        <v>185</v>
      </c>
      <c r="D10" s="26" t="s">
        <v>66</v>
      </c>
    </row>
    <row r="11" spans="1:4" x14ac:dyDescent="0.35">
      <c r="A11" s="27">
        <v>8</v>
      </c>
      <c r="B11" s="27" t="s">
        <v>131</v>
      </c>
      <c r="C11" s="28" t="s">
        <v>58</v>
      </c>
      <c r="D11" s="29" t="s">
        <v>59</v>
      </c>
    </row>
    <row r="12" spans="1:4" x14ac:dyDescent="0.35">
      <c r="A12" s="23">
        <v>9</v>
      </c>
      <c r="B12" s="24" t="s">
        <v>132</v>
      </c>
      <c r="C12" s="25" t="s">
        <v>60</v>
      </c>
      <c r="D12" s="26" t="s">
        <v>66</v>
      </c>
    </row>
    <row r="13" spans="1:4" x14ac:dyDescent="0.35">
      <c r="A13" s="33" t="s">
        <v>129</v>
      </c>
      <c r="B13" s="33" t="s">
        <v>133</v>
      </c>
      <c r="C13" s="34" t="s">
        <v>130</v>
      </c>
      <c r="D13" s="35" t="s">
        <v>52</v>
      </c>
    </row>
    <row r="14" spans="1:4" x14ac:dyDescent="0.35">
      <c r="A14" s="36" t="s">
        <v>129</v>
      </c>
      <c r="B14" s="33" t="s">
        <v>134</v>
      </c>
      <c r="C14" s="34" t="s">
        <v>61</v>
      </c>
      <c r="D14" s="35" t="s">
        <v>51</v>
      </c>
    </row>
    <row r="15" spans="1:4" ht="24" x14ac:dyDescent="0.35">
      <c r="A15" s="33" t="s">
        <v>129</v>
      </c>
      <c r="B15" s="214" t="s">
        <v>135</v>
      </c>
      <c r="C15" s="34" t="s">
        <v>246</v>
      </c>
      <c r="D15" s="35" t="s">
        <v>245</v>
      </c>
    </row>
    <row r="16" spans="1:4" ht="11.25" customHeight="1" x14ac:dyDescent="0.35"/>
    <row r="17" spans="1:5" ht="21.75" customHeight="1" x14ac:dyDescent="0.35">
      <c r="A17" s="37" t="s">
        <v>53</v>
      </c>
      <c r="B17" s="37"/>
    </row>
    <row r="18" spans="1:5" x14ac:dyDescent="0.35">
      <c r="A18" s="236" t="s">
        <v>242</v>
      </c>
      <c r="B18" s="236"/>
      <c r="C18" s="237"/>
      <c r="D18" s="237"/>
    </row>
    <row r="19" spans="1:5" x14ac:dyDescent="0.35">
      <c r="A19" s="237"/>
      <c r="B19" s="237"/>
      <c r="C19" s="237"/>
      <c r="D19" s="237"/>
    </row>
    <row r="20" spans="1:5" x14ac:dyDescent="0.35">
      <c r="A20" s="237"/>
      <c r="B20" s="237"/>
      <c r="C20" s="237"/>
      <c r="D20" s="237"/>
    </row>
    <row r="21" spans="1:5" x14ac:dyDescent="0.35">
      <c r="A21" s="237"/>
      <c r="B21" s="237"/>
      <c r="C21" s="237"/>
      <c r="D21" s="237"/>
    </row>
    <row r="22" spans="1:5" x14ac:dyDescent="0.35">
      <c r="A22" s="237"/>
      <c r="B22" s="237"/>
      <c r="C22" s="237"/>
      <c r="D22" s="237"/>
    </row>
    <row r="23" spans="1:5" ht="297" customHeight="1" x14ac:dyDescent="0.35">
      <c r="A23" s="237"/>
      <c r="B23" s="237"/>
      <c r="C23" s="237"/>
      <c r="D23" s="237"/>
      <c r="E23" s="38"/>
    </row>
    <row r="24" spans="1:5" ht="42.75" customHeight="1" x14ac:dyDescent="0.35">
      <c r="A24" s="236" t="s">
        <v>223</v>
      </c>
      <c r="B24" s="236"/>
      <c r="C24" s="236"/>
      <c r="D24" s="236"/>
    </row>
  </sheetData>
  <sheetProtection algorithmName="SHA-512" hashValue="yI4h52YZgNSZ1iIpwek5jfJXfGA+Z8lRNmKMhLmMPEV//rlX0VqRgR6I2fGLenxGQU84Wxg2zktlLZcsYxg6pg==" saltValue="g9LWKZkwJ4BZNpJU0pQ1Gw==" spinCount="100000" sheet="1" objects="1" scenarios="1"/>
  <mergeCells count="2">
    <mergeCell ref="A18:D23"/>
    <mergeCell ref="A24:D24"/>
  </mergeCells>
  <phoneticPr fontId="3" type="noConversion"/>
  <pageMargins left="0.7" right="0.7" top="0.78740157499999996" bottom="0.78740157499999996"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D653-A43F-44DE-BD3F-A29FA360B8A3}">
  <sheetPr>
    <tabColor theme="4"/>
  </sheetPr>
  <dimension ref="A1:Q51"/>
  <sheetViews>
    <sheetView zoomScale="90" zoomScaleNormal="90" workbookViewId="0">
      <selection activeCell="J6" sqref="J6"/>
    </sheetView>
  </sheetViews>
  <sheetFormatPr baseColWidth="10" defaultColWidth="10.6328125" defaultRowHeight="14.5" outlineLevelRow="1" outlineLevelCol="1" x14ac:dyDescent="0.35"/>
  <cols>
    <col min="1" max="1" width="30.08984375" style="15" customWidth="1"/>
    <col min="2" max="2" width="7" style="15" hidden="1" customWidth="1" outlineLevel="1"/>
    <col min="3" max="3" width="14.54296875" style="15" customWidth="1" collapsed="1"/>
    <col min="4" max="4" width="14.08984375" style="15" customWidth="1"/>
    <col min="5" max="5" width="20.36328125" style="15" customWidth="1"/>
    <col min="6" max="6" width="10.36328125" style="40" customWidth="1"/>
    <col min="7" max="7" width="18.81640625" style="15" customWidth="1"/>
    <col min="8" max="8" width="11.08984375" style="15" bestFit="1" customWidth="1"/>
    <col min="9" max="9" width="9.6328125" style="41" customWidth="1"/>
    <col min="10" max="10" width="24.6328125" style="15" customWidth="1"/>
    <col min="11" max="11" width="23.08984375" style="15" customWidth="1"/>
    <col min="12" max="12" width="18" style="15" bestFit="1" customWidth="1"/>
    <col min="13" max="13" width="22" style="15" customWidth="1"/>
    <col min="14" max="14" width="15.08984375" style="15" bestFit="1" customWidth="1"/>
    <col min="15" max="15" width="20.6328125" style="15" bestFit="1" customWidth="1"/>
    <col min="16" max="16" width="27" style="15" customWidth="1"/>
    <col min="17" max="16384" width="10.6328125" style="15"/>
  </cols>
  <sheetData>
    <row r="1" spans="1:17" ht="44.25" customHeight="1" x14ac:dyDescent="0.35">
      <c r="A1" s="39"/>
      <c r="D1" s="152"/>
      <c r="G1" s="152"/>
    </row>
    <row r="2" spans="1:17" ht="20.5" x14ac:dyDescent="0.45">
      <c r="A2" s="16" t="s">
        <v>159</v>
      </c>
    </row>
    <row r="3" spans="1:17" ht="18" customHeight="1" x14ac:dyDescent="0.55000000000000004">
      <c r="A3" s="18"/>
      <c r="E3" s="40"/>
      <c r="G3" s="40"/>
    </row>
    <row r="4" spans="1:17" ht="25.5" x14ac:dyDescent="0.55000000000000004">
      <c r="A4" s="18"/>
      <c r="D4" s="247" t="s">
        <v>167</v>
      </c>
      <c r="E4" s="247"/>
      <c r="F4" s="247"/>
      <c r="G4" s="247"/>
      <c r="H4" s="247"/>
      <c r="I4" s="247"/>
      <c r="M4" s="42" t="s">
        <v>81</v>
      </c>
    </row>
    <row r="5" spans="1:17" ht="72.5" x14ac:dyDescent="0.35">
      <c r="A5" s="160" t="s">
        <v>50</v>
      </c>
      <c r="B5" s="161" t="s">
        <v>79</v>
      </c>
      <c r="C5" s="199" t="s">
        <v>237</v>
      </c>
      <c r="D5" s="51" t="s">
        <v>216</v>
      </c>
      <c r="E5" s="161" t="s">
        <v>217</v>
      </c>
      <c r="F5" s="162" t="s">
        <v>155</v>
      </c>
      <c r="G5" s="162" t="s">
        <v>186</v>
      </c>
      <c r="H5" s="161" t="s">
        <v>157</v>
      </c>
      <c r="I5" s="161" t="s">
        <v>78</v>
      </c>
      <c r="J5" s="161" t="s">
        <v>156</v>
      </c>
      <c r="K5" s="156" t="s">
        <v>166</v>
      </c>
      <c r="L5" s="156" t="s">
        <v>171</v>
      </c>
      <c r="M5" s="156" t="s">
        <v>170</v>
      </c>
      <c r="N5" s="156" t="s">
        <v>78</v>
      </c>
      <c r="O5" s="157"/>
      <c r="P5" s="151"/>
      <c r="Q5" s="151"/>
    </row>
    <row r="6" spans="1:17" ht="23.25" customHeight="1" x14ac:dyDescent="0.35">
      <c r="A6" s="196" t="s">
        <v>103</v>
      </c>
      <c r="B6" s="195">
        <f>Tage_VOR</f>
        <v>75</v>
      </c>
      <c r="C6" s="200" t="s">
        <v>29</v>
      </c>
      <c r="D6" s="154">
        <f>(E6*F6)/(Betten_P2020*Tage_VOR)</f>
        <v>0.912894358974359</v>
      </c>
      <c r="E6" s="212">
        <v>7178</v>
      </c>
      <c r="F6" s="211">
        <f>MVD_2020</f>
        <v>6.2</v>
      </c>
      <c r="G6" s="147">
        <f>ROUND(F6*E6,0)</f>
        <v>44504</v>
      </c>
      <c r="H6" s="209">
        <f>CMI_P2020</f>
        <v>1.056</v>
      </c>
      <c r="I6" s="210">
        <f>PMId_P2020</f>
        <v>1</v>
      </c>
      <c r="J6" s="211">
        <v>0</v>
      </c>
      <c r="K6" s="158">
        <f>H6*E6+'COVID-19 Fälle und DRG'!Q21</f>
        <v>7579.9680000000008</v>
      </c>
      <c r="L6" s="159">
        <f>K6/(J6+E6)</f>
        <v>1.056</v>
      </c>
      <c r="M6" s="158">
        <f>I6*G6+'COVID-19 Fälle und DRG'!R21</f>
        <v>44504</v>
      </c>
      <c r="N6" s="159">
        <f>M6/(G6+'COVID-19 Fälle und DRG'!P21)</f>
        <v>1</v>
      </c>
      <c r="O6" s="157"/>
      <c r="P6" s="151"/>
      <c r="Q6" s="151"/>
    </row>
    <row r="7" spans="1:17" ht="23.25" customHeight="1" x14ac:dyDescent="0.35">
      <c r="A7" s="196" t="s">
        <v>104</v>
      </c>
      <c r="B7" s="195">
        <f>Tage_maerz</f>
        <v>16</v>
      </c>
      <c r="C7" s="200" t="s">
        <v>29</v>
      </c>
      <c r="D7" s="154">
        <f>(E7*F7)/(Betten_P2020*Tage_maerz)</f>
        <v>0.53653846153846152</v>
      </c>
      <c r="E7" s="212">
        <v>900</v>
      </c>
      <c r="F7" s="211">
        <f>MVD_2020</f>
        <v>6.2</v>
      </c>
      <c r="G7" s="147">
        <f>ROUND(F7*E7,0)</f>
        <v>5580</v>
      </c>
      <c r="H7" s="209">
        <f>CMI_P2020</f>
        <v>1.056</v>
      </c>
      <c r="I7" s="210">
        <f>PMId_P2020</f>
        <v>1</v>
      </c>
      <c r="J7" s="211">
        <v>20</v>
      </c>
      <c r="K7" s="158">
        <f>H7*E7+'COVID-19 Fälle und DRG'!Q22</f>
        <v>985.95300000000009</v>
      </c>
      <c r="L7" s="159">
        <f t="shared" ref="L7:L10" si="0">K7/(J7+E7)</f>
        <v>1.071688043478261</v>
      </c>
      <c r="M7" s="158">
        <f>I7*G7+'COVID-19 Fälle und DRG'!R22</f>
        <v>6120.1512000000002</v>
      </c>
      <c r="N7" s="159">
        <f>M7/(G7+'COVID-19 Fälle und DRG'!P22)</f>
        <v>1.0381935877862596</v>
      </c>
      <c r="O7" s="157"/>
      <c r="P7" s="151"/>
      <c r="Q7" s="151"/>
    </row>
    <row r="8" spans="1:17" ht="23.25" customHeight="1" x14ac:dyDescent="0.35">
      <c r="A8" s="196" t="s">
        <v>100</v>
      </c>
      <c r="B8" s="195">
        <f>Q2_Tage</f>
        <v>91</v>
      </c>
      <c r="C8" s="201">
        <f>AUSL_P2020-(F_Kap_COVID*AUSL_P2020)</f>
        <v>0.68802017654476677</v>
      </c>
      <c r="D8" s="213">
        <v>0.68799999999999994</v>
      </c>
      <c r="E8" s="147">
        <f>ROUND(FZ_Q2/AUSL_P2020*D8,0)</f>
        <v>6785</v>
      </c>
      <c r="F8" s="211">
        <f>MVD_2020</f>
        <v>6.2</v>
      </c>
      <c r="G8" s="147">
        <f>ROUND(F8*E8,0)</f>
        <v>42067</v>
      </c>
      <c r="H8" s="209">
        <f>CMI_P2020</f>
        <v>1.056</v>
      </c>
      <c r="I8" s="210">
        <f>PMId_P2020</f>
        <v>1</v>
      </c>
      <c r="J8" s="211">
        <v>50</v>
      </c>
      <c r="K8" s="158">
        <f>H8*E8+'COVID-19 Fälle und DRG'!Q23</f>
        <v>7253.8424999999997</v>
      </c>
      <c r="L8" s="159">
        <f t="shared" si="0"/>
        <v>1.0612790782735917</v>
      </c>
      <c r="M8" s="158">
        <f>I8*G8+'COVID-19 Fälle und DRG'!R23</f>
        <v>43417.377999999997</v>
      </c>
      <c r="N8" s="159">
        <f>M8/(G8+'COVID-19 Fälle und DRG'!P23)</f>
        <v>1.013134629968848</v>
      </c>
      <c r="O8" s="157"/>
      <c r="P8" s="151"/>
      <c r="Q8" s="151"/>
    </row>
    <row r="9" spans="1:17" ht="23.25" customHeight="1" x14ac:dyDescent="0.35">
      <c r="A9" s="196" t="s">
        <v>101</v>
      </c>
      <c r="B9" s="195">
        <f>Q3_Tage</f>
        <v>92</v>
      </c>
      <c r="C9" s="201">
        <f>AUSL_P2020-('Basisdaten und PLAN 2020'!I22*AUSL_P2020)</f>
        <v>0.73102143757881466</v>
      </c>
      <c r="D9" s="213">
        <v>0.73099999999999998</v>
      </c>
      <c r="E9" s="147">
        <f>ROUND(FZ_Q3/AUSL_P2020*D9,0)</f>
        <v>6571</v>
      </c>
      <c r="F9" s="211">
        <f>MVD_2020</f>
        <v>6.2</v>
      </c>
      <c r="G9" s="147">
        <f>ROUND(F9*E9,0)</f>
        <v>40740</v>
      </c>
      <c r="H9" s="209">
        <f>CMI_P2020</f>
        <v>1.056</v>
      </c>
      <c r="I9" s="210">
        <f>PMId_P2020</f>
        <v>1</v>
      </c>
      <c r="J9" s="211">
        <v>20</v>
      </c>
      <c r="K9" s="158">
        <f>H9*E9+'COVID-19 Fälle und DRG'!Q24</f>
        <v>6974.5290000000005</v>
      </c>
      <c r="L9" s="159">
        <f t="shared" si="0"/>
        <v>1.0581898042785618</v>
      </c>
      <c r="M9" s="158">
        <f>I9*G9+'COVID-19 Fälle und DRG'!R24</f>
        <v>41280.1512</v>
      </c>
      <c r="N9" s="159">
        <f>M9/(G9+'COVID-19 Fälle und DRG'!P24)</f>
        <v>1.0054841359152356</v>
      </c>
      <c r="O9" s="157"/>
      <c r="P9" s="151"/>
      <c r="Q9" s="151"/>
    </row>
    <row r="10" spans="1:17" ht="23.25" customHeight="1" x14ac:dyDescent="0.35">
      <c r="A10" s="196" t="s">
        <v>102</v>
      </c>
      <c r="B10" s="195">
        <f>Q4_Tage</f>
        <v>92</v>
      </c>
      <c r="C10" s="201">
        <f>AUSL_P2020-('Basisdaten und PLAN 2020'!I23*AUSL_P2020)</f>
        <v>0.77402269861286255</v>
      </c>
      <c r="D10" s="213">
        <v>0.77400000000000002</v>
      </c>
      <c r="E10" s="147">
        <f>ROUND(FZ_Q4/AUSL_P2020*D10,0)</f>
        <v>7271</v>
      </c>
      <c r="F10" s="211">
        <v>6.2</v>
      </c>
      <c r="G10" s="147">
        <f t="shared" ref="G10" si="1">ROUND(F10*E10,0)</f>
        <v>45080</v>
      </c>
      <c r="H10" s="209">
        <f>CMI_P2020</f>
        <v>1.056</v>
      </c>
      <c r="I10" s="210">
        <f>PMId_P2020</f>
        <v>1</v>
      </c>
      <c r="J10" s="211">
        <v>10</v>
      </c>
      <c r="K10" s="158">
        <f>H10*E10+'COVID-19 Fälle und DRG'!Q25</f>
        <v>7695.9525000000003</v>
      </c>
      <c r="L10" s="159">
        <f t="shared" si="0"/>
        <v>1.0569911413267408</v>
      </c>
      <c r="M10" s="158">
        <f>I10*G10+'COVID-19 Fälle und DRG'!R25</f>
        <v>45350.075599999996</v>
      </c>
      <c r="N10" s="159">
        <f>M10/(G10+'COVID-19 Fälle und DRG'!P25)</f>
        <v>1.0024885460071842</v>
      </c>
      <c r="O10" s="157"/>
      <c r="P10" s="151"/>
      <c r="Q10" s="151"/>
    </row>
    <row r="11" spans="1:17" ht="23.25" customHeight="1" x14ac:dyDescent="0.35">
      <c r="A11" s="197" t="s">
        <v>182</v>
      </c>
      <c r="B11" s="198">
        <f>SUM(B6:B10)</f>
        <v>366</v>
      </c>
      <c r="C11" s="202"/>
      <c r="D11" s="46">
        <f>G11/(Betten_P2020*Tage_2020)</f>
        <v>0.74809163514081545</v>
      </c>
      <c r="E11" s="148">
        <f>SUM(E6:E10)</f>
        <v>28705</v>
      </c>
      <c r="F11" s="149">
        <f>G11/E11</f>
        <v>6.2</v>
      </c>
      <c r="G11" s="148">
        <f>SUM(G6:G10)</f>
        <v>177971</v>
      </c>
      <c r="H11" s="32"/>
      <c r="I11" s="47"/>
      <c r="J11" s="48">
        <f>SUM(J6:J10)</f>
        <v>100</v>
      </c>
      <c r="K11" s="158">
        <f>SUM(K6:K10)</f>
        <v>30490.245000000003</v>
      </c>
      <c r="L11" s="159">
        <f>K11/E20</f>
        <v>1.0585052942197537</v>
      </c>
      <c r="M11" s="158">
        <f>SUM(M6:M10)</f>
        <v>180671.75599999999</v>
      </c>
      <c r="N11" s="159">
        <f>M11/G20</f>
        <v>1.0062700143695766</v>
      </c>
      <c r="O11" s="157"/>
      <c r="P11" s="151"/>
      <c r="Q11" s="151"/>
    </row>
    <row r="12" spans="1:17" ht="12" customHeight="1" x14ac:dyDescent="0.35">
      <c r="A12" s="146"/>
      <c r="K12" s="150"/>
      <c r="L12" s="150"/>
      <c r="M12" s="151"/>
      <c r="N12" s="151"/>
      <c r="O12" s="151"/>
    </row>
    <row r="13" spans="1:17" ht="24" customHeight="1" x14ac:dyDescent="0.35">
      <c r="D13" s="247" t="s">
        <v>165</v>
      </c>
      <c r="E13" s="247"/>
      <c r="F13" s="247"/>
      <c r="G13" s="247"/>
      <c r="H13" s="247"/>
      <c r="I13" s="247"/>
      <c r="J13" s="151"/>
      <c r="K13" s="151"/>
      <c r="L13" s="151"/>
      <c r="M13" s="151"/>
      <c r="N13" s="151"/>
      <c r="O13" s="151"/>
    </row>
    <row r="14" spans="1:17" s="47" customFormat="1" ht="29.25" customHeight="1" x14ac:dyDescent="0.35">
      <c r="A14" s="43" t="s">
        <v>50</v>
      </c>
      <c r="B14" s="44" t="s">
        <v>79</v>
      </c>
      <c r="C14" s="44"/>
      <c r="D14" s="45" t="s">
        <v>64</v>
      </c>
      <c r="E14" s="45" t="s">
        <v>67</v>
      </c>
      <c r="F14" s="45" t="s">
        <v>7</v>
      </c>
      <c r="G14" s="49" t="s">
        <v>225</v>
      </c>
      <c r="H14" s="45" t="s">
        <v>43</v>
      </c>
      <c r="I14" s="45" t="s">
        <v>78</v>
      </c>
      <c r="J14" s="208" t="s">
        <v>180</v>
      </c>
      <c r="K14" s="51" t="s">
        <v>211</v>
      </c>
      <c r="L14" s="51" t="s">
        <v>212</v>
      </c>
      <c r="M14" s="51" t="s">
        <v>99</v>
      </c>
    </row>
    <row r="15" spans="1:17" ht="30" hidden="1" customHeight="1" outlineLevel="1" x14ac:dyDescent="0.35">
      <c r="A15" s="244" t="s">
        <v>238</v>
      </c>
      <c r="B15" s="53"/>
      <c r="C15" s="259"/>
      <c r="D15" s="260"/>
      <c r="E15" s="260"/>
      <c r="F15" s="260"/>
      <c r="G15" s="260"/>
      <c r="H15" s="260"/>
      <c r="I15" s="261"/>
      <c r="J15" s="67" t="s">
        <v>161</v>
      </c>
      <c r="K15" s="59">
        <f>K21+K24+K29+K35+K41</f>
        <v>112012862.28518879</v>
      </c>
      <c r="L15" s="59">
        <f>'Basisdaten und PLAN 2020'!D16</f>
        <v>127975795.2</v>
      </c>
      <c r="M15" s="59">
        <f t="shared" ref="M15:M19" si="2">K15-L15</f>
        <v>-15962932.914811209</v>
      </c>
      <c r="N15" s="60"/>
      <c r="O15" s="61"/>
    </row>
    <row r="16" spans="1:17" ht="30" hidden="1" customHeight="1" outlineLevel="1" x14ac:dyDescent="0.35">
      <c r="A16" s="245"/>
      <c r="B16" s="53"/>
      <c r="C16" s="262"/>
      <c r="D16" s="263"/>
      <c r="E16" s="263"/>
      <c r="F16" s="263"/>
      <c r="G16" s="263"/>
      <c r="H16" s="263"/>
      <c r="I16" s="264"/>
      <c r="J16" s="67" t="s">
        <v>162</v>
      </c>
      <c r="K16" s="59">
        <f t="shared" ref="K16" si="3">K22+K25+K30+K36+K42</f>
        <v>10043191.3824</v>
      </c>
      <c r="L16" s="59">
        <f>ZE_P2020</f>
        <v>11517821.568</v>
      </c>
      <c r="M16" s="59">
        <f t="shared" si="2"/>
        <v>-1474630.1855999995</v>
      </c>
      <c r="N16" s="60"/>
      <c r="O16" s="61"/>
    </row>
    <row r="17" spans="1:15" ht="46.5" hidden="1" customHeight="1" outlineLevel="1" x14ac:dyDescent="0.35">
      <c r="A17" s="245"/>
      <c r="B17" s="53"/>
      <c r="C17" s="262"/>
      <c r="D17" s="263"/>
      <c r="E17" s="263"/>
      <c r="F17" s="263"/>
      <c r="G17" s="263"/>
      <c r="H17" s="263"/>
      <c r="I17" s="264"/>
      <c r="J17" s="67" t="s">
        <v>239</v>
      </c>
      <c r="K17" s="59">
        <f t="shared" ref="K17" si="4">K23+K26+K31+K37+K43</f>
        <v>31498545.060000002</v>
      </c>
      <c r="L17" s="59">
        <f>'Basisdaten und PLAN 2020'!D18</f>
        <v>29984130.000000004</v>
      </c>
      <c r="M17" s="59">
        <f t="shared" si="2"/>
        <v>1514415.0599999987</v>
      </c>
      <c r="N17" s="60"/>
      <c r="O17" s="61"/>
    </row>
    <row r="18" spans="1:15" ht="30" hidden="1" customHeight="1" outlineLevel="1" x14ac:dyDescent="0.35">
      <c r="A18" s="245"/>
      <c r="B18" s="53"/>
      <c r="C18" s="262"/>
      <c r="D18" s="263"/>
      <c r="E18" s="263"/>
      <c r="F18" s="263"/>
      <c r="G18" s="263"/>
      <c r="H18" s="263"/>
      <c r="I18" s="264"/>
      <c r="J18" s="204" t="s">
        <v>228</v>
      </c>
      <c r="K18" s="59">
        <f>K27+K32+K38</f>
        <v>9937736.0000000056</v>
      </c>
      <c r="L18" s="59">
        <f>L27+L32+L38</f>
        <v>0</v>
      </c>
      <c r="M18" s="59">
        <f t="shared" si="2"/>
        <v>9937736.0000000056</v>
      </c>
      <c r="N18" s="60"/>
      <c r="O18" s="61"/>
    </row>
    <row r="19" spans="1:15" ht="30" hidden="1" customHeight="1" outlineLevel="1" x14ac:dyDescent="0.35">
      <c r="A19" s="246"/>
      <c r="B19" s="53"/>
      <c r="C19" s="265"/>
      <c r="D19" s="266"/>
      <c r="E19" s="266"/>
      <c r="F19" s="266"/>
      <c r="G19" s="266"/>
      <c r="H19" s="266"/>
      <c r="I19" s="267"/>
      <c r="J19" s="204" t="s">
        <v>164</v>
      </c>
      <c r="K19" s="59">
        <f>K33</f>
        <v>341750</v>
      </c>
      <c r="L19" s="59">
        <f>L33+L50</f>
        <v>0</v>
      </c>
      <c r="M19" s="59">
        <f t="shared" si="2"/>
        <v>341750</v>
      </c>
      <c r="N19" s="60"/>
      <c r="O19" s="61"/>
    </row>
    <row r="20" spans="1:15" ht="30" customHeight="1" collapsed="1" x14ac:dyDescent="0.35">
      <c r="A20" s="52" t="s">
        <v>183</v>
      </c>
      <c r="B20" s="53">
        <v>366</v>
      </c>
      <c r="C20" s="53"/>
      <c r="D20" s="54">
        <f>G20/(Betten_P2020*Tage_2020)</f>
        <v>0.75471206389239176</v>
      </c>
      <c r="E20" s="55">
        <f>SUM(E6:E10)+F_COVID</f>
        <v>28805</v>
      </c>
      <c r="F20" s="56">
        <f>G20/E20</f>
        <v>6.2331539663252906</v>
      </c>
      <c r="G20" s="55">
        <f>SUM(G6:G10)+T_COVID</f>
        <v>179546</v>
      </c>
      <c r="H20" s="57">
        <f>L11</f>
        <v>1.0585052942197537</v>
      </c>
      <c r="I20" s="58">
        <f>N11</f>
        <v>1.0062700143695766</v>
      </c>
      <c r="J20" s="205" t="s">
        <v>160</v>
      </c>
      <c r="K20" s="59">
        <f>K28+K34+K40+K46</f>
        <v>164164634.72758883</v>
      </c>
      <c r="L20" s="59">
        <f>'Basisdaten und PLAN 2020'!D19</f>
        <v>169477746.76800001</v>
      </c>
      <c r="M20" s="59">
        <f t="shared" ref="M20:M26" si="5">K20-L20</f>
        <v>-5313112.0404111743</v>
      </c>
      <c r="N20" s="60"/>
      <c r="O20" s="61"/>
    </row>
    <row r="21" spans="1:15" ht="30" hidden="1" customHeight="1" outlineLevel="1" x14ac:dyDescent="0.35">
      <c r="A21" s="256" t="s">
        <v>103</v>
      </c>
      <c r="B21" s="62">
        <v>75</v>
      </c>
      <c r="C21" s="250"/>
      <c r="D21" s="203"/>
      <c r="E21" s="63">
        <f>E6+'COVID-19 Fälle und DRG'!O21</f>
        <v>7178</v>
      </c>
      <c r="F21" s="64"/>
      <c r="G21" s="65"/>
      <c r="H21" s="66">
        <f>L6</f>
        <v>1.056</v>
      </c>
      <c r="I21" s="66"/>
      <c r="J21" s="67" t="s">
        <v>161</v>
      </c>
      <c r="K21" s="59">
        <f>H21*E21*BFW_2020</f>
        <v>27836674.483200002</v>
      </c>
      <c r="L21" s="59">
        <f>'Basisdaten und PLAN 2020'!D8*CMI_P2020*BFW_2020</f>
        <v>27836674.483200002</v>
      </c>
      <c r="M21" s="59">
        <f>K21-L21</f>
        <v>0</v>
      </c>
      <c r="N21" s="60"/>
      <c r="O21" s="61"/>
    </row>
    <row r="22" spans="1:15" ht="30" hidden="1" customHeight="1" outlineLevel="1" x14ac:dyDescent="0.35">
      <c r="A22" s="257"/>
      <c r="B22" s="62">
        <v>75</v>
      </c>
      <c r="C22" s="251"/>
      <c r="D22" s="203"/>
      <c r="E22" s="63">
        <f>E21</f>
        <v>7178</v>
      </c>
      <c r="F22" s="64"/>
      <c r="G22" s="65"/>
      <c r="H22" s="68"/>
      <c r="I22" s="68"/>
      <c r="J22" s="67" t="s">
        <v>162</v>
      </c>
      <c r="K22" s="59">
        <f>(E22/FZ_2020)*ZE_P2020+'COVID-19 Fälle und DRG'!V21</f>
        <v>2505300.7034880002</v>
      </c>
      <c r="L22" s="59">
        <f>('Basisdaten und PLAN 2020'!D8/FZ_2020)*ZE_P2020</f>
        <v>2505300.7034880002</v>
      </c>
      <c r="M22" s="59">
        <f t="shared" si="5"/>
        <v>0</v>
      </c>
      <c r="N22" s="60"/>
    </row>
    <row r="23" spans="1:15" ht="30" hidden="1" customHeight="1" outlineLevel="1" x14ac:dyDescent="0.35">
      <c r="A23" s="258"/>
      <c r="B23" s="62">
        <v>75</v>
      </c>
      <c r="C23" s="252"/>
      <c r="D23" s="69">
        <f>G23/(Betten_P2020*Tage_VOR)</f>
        <v>0.9129025641025641</v>
      </c>
      <c r="E23" s="63"/>
      <c r="F23" s="64">
        <f>G23/E21</f>
        <v>6.2000557258289213</v>
      </c>
      <c r="G23" s="70">
        <f>G6+'COVID-19 Fälle und DRG'!P21</f>
        <v>44504</v>
      </c>
      <c r="H23" s="68"/>
      <c r="I23" s="71">
        <f>N6</f>
        <v>1</v>
      </c>
      <c r="J23" s="67" t="s">
        <v>163</v>
      </c>
      <c r="K23" s="59">
        <f>G6*I6*PEW_P2020+'COVID-19 Fälle und DRG'!T21</f>
        <v>6522061.2000000002</v>
      </c>
      <c r="L23" s="59">
        <f>I6*ROUND(F6*'Basisdaten und PLAN 2020'!D8,0)*PEW_P2020</f>
        <v>6522061.2000000002</v>
      </c>
      <c r="M23" s="59">
        <f t="shared" si="5"/>
        <v>0</v>
      </c>
      <c r="N23" s="60"/>
    </row>
    <row r="24" spans="1:15" ht="30" hidden="1" customHeight="1" outlineLevel="1" x14ac:dyDescent="0.35">
      <c r="A24" s="249" t="s">
        <v>104</v>
      </c>
      <c r="B24" s="62">
        <v>16</v>
      </c>
      <c r="C24" s="250"/>
      <c r="D24" s="221"/>
      <c r="E24" s="63">
        <f>E7+'COVID-19 Fälle und DRG'!O22</f>
        <v>920</v>
      </c>
      <c r="F24" s="64"/>
      <c r="G24" s="63"/>
      <c r="H24" s="66">
        <f>L7</f>
        <v>1.071688043478261</v>
      </c>
      <c r="I24" s="217"/>
      <c r="J24" s="67" t="s">
        <v>161</v>
      </c>
      <c r="K24" s="59">
        <f>H24*E24*BFW_2020</f>
        <v>3620813.7972000004</v>
      </c>
      <c r="L24" s="59">
        <f>'Basisdaten und PLAN 2020'!D9*CMI_P2020*BFW_2020</f>
        <v>5937301.2864000006</v>
      </c>
      <c r="M24" s="59">
        <f t="shared" si="5"/>
        <v>-2316487.4892000002</v>
      </c>
      <c r="N24" s="60"/>
    </row>
    <row r="25" spans="1:15" ht="30" hidden="1" customHeight="1" outlineLevel="1" x14ac:dyDescent="0.35">
      <c r="A25" s="249"/>
      <c r="B25" s="62">
        <v>16</v>
      </c>
      <c r="C25" s="251"/>
      <c r="D25" s="222"/>
      <c r="E25" s="63">
        <f>E24</f>
        <v>920</v>
      </c>
      <c r="F25" s="64"/>
      <c r="G25" s="63"/>
      <c r="H25" s="217"/>
      <c r="I25" s="217"/>
      <c r="J25" s="67" t="s">
        <v>162</v>
      </c>
      <c r="K25" s="59">
        <f>(E25/FZ_2020)*ZE_P2020+'COVID-19 Fälle und DRG'!V22</f>
        <v>321102.90431999997</v>
      </c>
      <c r="L25" s="59">
        <f>('Basisdaten und PLAN 2020'!D9/FZ_2020)*ZE_P2020</f>
        <v>534357.11577600008</v>
      </c>
      <c r="M25" s="59">
        <f t="shared" si="5"/>
        <v>-213254.21145600011</v>
      </c>
      <c r="N25" s="60"/>
    </row>
    <row r="26" spans="1:15" ht="30" hidden="1" customHeight="1" outlineLevel="1" x14ac:dyDescent="0.35">
      <c r="A26" s="249"/>
      <c r="B26" s="62">
        <v>16</v>
      </c>
      <c r="C26" s="251"/>
      <c r="D26" s="222"/>
      <c r="E26" s="63"/>
      <c r="F26" s="64"/>
      <c r="G26" s="63">
        <f>G7+'COVID-19 Fälle und DRG'!P22</f>
        <v>5895</v>
      </c>
      <c r="H26" s="217"/>
      <c r="I26" s="71">
        <f>N7</f>
        <v>1.0381935877862596</v>
      </c>
      <c r="J26" s="67" t="s">
        <v>163</v>
      </c>
      <c r="K26" s="59">
        <f>G7*I7*PEW_P2020+'COVID-19 Fälle und DRG'!T22</f>
        <v>917676.97200000007</v>
      </c>
      <c r="L26" s="59">
        <f>'Basisdaten und PLAN 2020'!D9*MVD_2020*PEW_P2020</f>
        <v>1391081.9100000001</v>
      </c>
      <c r="M26" s="59">
        <f t="shared" si="5"/>
        <v>-473404.93800000008</v>
      </c>
      <c r="N26" s="60"/>
    </row>
    <row r="27" spans="1:15" ht="26" hidden="1" outlineLevel="1" x14ac:dyDescent="0.35">
      <c r="A27" s="249"/>
      <c r="B27" s="62">
        <v>16</v>
      </c>
      <c r="C27" s="252"/>
      <c r="D27" s="69">
        <f>G26/(Betten_P2020*Tage_maerz)</f>
        <v>0.56682692307692306</v>
      </c>
      <c r="E27" s="63"/>
      <c r="F27" s="64"/>
      <c r="G27" s="63">
        <f>'Basisdaten und PLAN 2020'!D9*MVD_2020-G26</f>
        <v>3597.2000000000007</v>
      </c>
      <c r="H27" s="217"/>
      <c r="I27" s="217"/>
      <c r="J27" s="67" t="s">
        <v>228</v>
      </c>
      <c r="K27" s="59">
        <f>IF(G27&gt;0,G27*'Basisdaten und PLAN 2020'!$I$16,0)</f>
        <v>2014432.0000000005</v>
      </c>
      <c r="L27" s="59">
        <v>0</v>
      </c>
      <c r="M27" s="59">
        <f t="shared" ref="M27:M44" si="6">K27-L27</f>
        <v>2014432.0000000005</v>
      </c>
      <c r="N27" s="60"/>
    </row>
    <row r="28" spans="1:15" ht="30" customHeight="1" collapsed="1" x14ac:dyDescent="0.35">
      <c r="A28" s="73" t="s">
        <v>172</v>
      </c>
      <c r="B28" s="62"/>
      <c r="C28" s="271"/>
      <c r="D28" s="272"/>
      <c r="E28" s="272"/>
      <c r="F28" s="272"/>
      <c r="G28" s="272"/>
      <c r="H28" s="272"/>
      <c r="I28" s="273"/>
      <c r="J28" s="72" t="s">
        <v>173</v>
      </c>
      <c r="K28" s="59">
        <f>SUM(K21:K27)</f>
        <v>43738062.060208008</v>
      </c>
      <c r="L28" s="59">
        <f>SUM(L21:L27)</f>
        <v>44726776.698863998</v>
      </c>
      <c r="M28" s="59">
        <f>SUM(M21:M27)</f>
        <v>-988714.63865600014</v>
      </c>
      <c r="N28" s="60"/>
    </row>
    <row r="29" spans="1:15" ht="30" hidden="1" customHeight="1" outlineLevel="1" x14ac:dyDescent="0.35">
      <c r="A29" s="248" t="s">
        <v>100</v>
      </c>
      <c r="B29" s="62">
        <v>91</v>
      </c>
      <c r="C29" s="250"/>
      <c r="D29" s="74"/>
      <c r="E29" s="63">
        <f>E8+'COVID-19 Fälle und DRG'!O23</f>
        <v>6835</v>
      </c>
      <c r="F29" s="64"/>
      <c r="G29" s="63"/>
      <c r="H29" s="66">
        <f>L8</f>
        <v>1.0612790782735917</v>
      </c>
      <c r="I29" s="217"/>
      <c r="J29" s="67" t="s">
        <v>161</v>
      </c>
      <c r="K29" s="59">
        <f>H29*E29*BFW_2020</f>
        <v>26639011.196999997</v>
      </c>
      <c r="L29" s="59">
        <f>FZ_Q2*CMI_P2020*BFW_2020</f>
        <v>32889779.3664</v>
      </c>
      <c r="M29" s="59">
        <f t="shared" si="6"/>
        <v>-6250768.1694000028</v>
      </c>
      <c r="N29" s="60"/>
      <c r="O29" s="75"/>
    </row>
    <row r="30" spans="1:15" ht="30" hidden="1" customHeight="1" outlineLevel="1" x14ac:dyDescent="0.35">
      <c r="A30" s="248"/>
      <c r="B30" s="62">
        <v>91</v>
      </c>
      <c r="C30" s="251"/>
      <c r="D30" s="223"/>
      <c r="E30" s="63">
        <f>E29</f>
        <v>6835</v>
      </c>
      <c r="F30" s="64"/>
      <c r="G30" s="63"/>
      <c r="H30" s="217"/>
      <c r="I30" s="217"/>
      <c r="J30" s="67" t="s">
        <v>162</v>
      </c>
      <c r="K30" s="59">
        <f>(E30/FZ_2020)*ZE_P2020</f>
        <v>2385585.1641600002</v>
      </c>
      <c r="L30" s="59">
        <f>(FZ_Q2/FZ_2020)*ZE_P2020</f>
        <v>2960080.142976</v>
      </c>
      <c r="M30" s="59">
        <f t="shared" si="6"/>
        <v>-574494.97881599981</v>
      </c>
      <c r="N30" s="60"/>
    </row>
    <row r="31" spans="1:15" ht="30" hidden="1" customHeight="1" outlineLevel="1" x14ac:dyDescent="0.35">
      <c r="A31" s="248"/>
      <c r="B31" s="62">
        <v>91</v>
      </c>
      <c r="C31" s="251"/>
      <c r="D31" s="223"/>
      <c r="E31" s="63"/>
      <c r="F31" s="64"/>
      <c r="G31" s="63">
        <f>G8+'COVID-19 Fälle und DRG'!P23</f>
        <v>42854.5</v>
      </c>
      <c r="H31" s="217"/>
      <c r="I31" s="71">
        <f>N8</f>
        <v>1.013134629968848</v>
      </c>
      <c r="J31" s="67" t="s">
        <v>163</v>
      </c>
      <c r="K31" s="59">
        <f>G8*I8*PEW_NEU+'COVID-19 Fälle und DRG'!T23</f>
        <v>8032214.9299999997</v>
      </c>
      <c r="L31" s="59">
        <f>FZ_Q2*MVD_2020*PMId_P2020*PEW_P2020</f>
        <v>7705921.4100000011</v>
      </c>
      <c r="M31" s="59">
        <f t="shared" si="6"/>
        <v>326293.51999999862</v>
      </c>
      <c r="N31" s="60"/>
    </row>
    <row r="32" spans="1:15" ht="30" hidden="1" customHeight="1" outlineLevel="1" x14ac:dyDescent="0.35">
      <c r="A32" s="248"/>
      <c r="B32" s="62">
        <v>91</v>
      </c>
      <c r="C32" s="251"/>
      <c r="D32" s="69">
        <f>D8+('COVID-19 Fälle und DRG'!P23/(Betten_P2020*Q2_Tage))</f>
        <v>0.70131360946745558</v>
      </c>
      <c r="E32" s="63"/>
      <c r="F32" s="64"/>
      <c r="G32" s="63">
        <f>FZ_Q2*MVD_2020-G31</f>
        <v>9727.7000000000044</v>
      </c>
      <c r="H32" s="217"/>
      <c r="I32" s="217"/>
      <c r="J32" s="67" t="s">
        <v>228</v>
      </c>
      <c r="K32" s="59">
        <f>IF(G32&gt;0,G32*'Basisdaten und PLAN 2020'!$I$16,0)</f>
        <v>5447512.0000000028</v>
      </c>
      <c r="L32" s="59">
        <v>0</v>
      </c>
      <c r="M32" s="59">
        <f t="shared" si="6"/>
        <v>5447512.0000000028</v>
      </c>
      <c r="N32" s="60"/>
    </row>
    <row r="33" spans="1:14" ht="30" hidden="1" customHeight="1" outlineLevel="1" x14ac:dyDescent="0.35">
      <c r="A33" s="248"/>
      <c r="B33" s="62">
        <v>91</v>
      </c>
      <c r="C33" s="252"/>
      <c r="D33" s="224"/>
      <c r="E33" s="63">
        <f>E30</f>
        <v>6835</v>
      </c>
      <c r="F33" s="64"/>
      <c r="G33" s="63"/>
      <c r="H33" s="217"/>
      <c r="I33" s="217"/>
      <c r="J33" s="67" t="s">
        <v>164</v>
      </c>
      <c r="K33" s="59">
        <f>E33*PSA</f>
        <v>341750</v>
      </c>
      <c r="L33" s="59">
        <v>0</v>
      </c>
      <c r="M33" s="59">
        <f t="shared" si="6"/>
        <v>341750</v>
      </c>
      <c r="N33" s="60"/>
    </row>
    <row r="34" spans="1:14" ht="30" customHeight="1" collapsed="1" x14ac:dyDescent="0.35">
      <c r="A34" s="73" t="s">
        <v>174</v>
      </c>
      <c r="B34" s="62"/>
      <c r="C34" s="271"/>
      <c r="D34" s="272"/>
      <c r="E34" s="272"/>
      <c r="F34" s="272"/>
      <c r="G34" s="272"/>
      <c r="H34" s="272"/>
      <c r="I34" s="273"/>
      <c r="J34" s="72" t="s">
        <v>175</v>
      </c>
      <c r="K34" s="59">
        <f>SUM(K29:K33)</f>
        <v>42846073.291159995</v>
      </c>
      <c r="L34" s="59">
        <f>SUM(L29:L33)</f>
        <v>43555780.919376001</v>
      </c>
      <c r="M34" s="59">
        <f>SUM(M29:M33)</f>
        <v>-709707.62821600121</v>
      </c>
      <c r="N34" s="60"/>
    </row>
    <row r="35" spans="1:14" ht="30" hidden="1" customHeight="1" outlineLevel="1" x14ac:dyDescent="0.35">
      <c r="A35" s="248" t="s">
        <v>101</v>
      </c>
      <c r="B35" s="62">
        <v>92</v>
      </c>
      <c r="C35" s="250"/>
      <c r="D35" s="223"/>
      <c r="E35" s="63">
        <f>E9+'COVID-19 Fälle und DRG'!O24</f>
        <v>6591</v>
      </c>
      <c r="F35" s="64"/>
      <c r="G35" s="63"/>
      <c r="H35" s="66">
        <f>L9</f>
        <v>1.0581898042785618</v>
      </c>
      <c r="I35" s="217"/>
      <c r="J35" s="67" t="s">
        <v>161</v>
      </c>
      <c r="K35" s="59">
        <f>H35*E35*BFW_2020</f>
        <v>25613260.299600001</v>
      </c>
      <c r="L35" s="59">
        <f>FZ_Q3*CMI_P2020*BFW_2020</f>
        <v>29981238.566400003</v>
      </c>
      <c r="M35" s="59">
        <f t="shared" ref="M35:M38" si="7">K35-L35</f>
        <v>-4367978.2668000013</v>
      </c>
      <c r="N35" s="60"/>
    </row>
    <row r="36" spans="1:14" ht="30" hidden="1" customHeight="1" outlineLevel="1" x14ac:dyDescent="0.35">
      <c r="A36" s="248"/>
      <c r="B36" s="62">
        <v>92</v>
      </c>
      <c r="C36" s="251"/>
      <c r="D36" s="223"/>
      <c r="E36" s="63">
        <f>E35</f>
        <v>6591</v>
      </c>
      <c r="F36" s="64"/>
      <c r="G36" s="63"/>
      <c r="H36" s="217"/>
      <c r="I36" s="217"/>
      <c r="J36" s="67" t="s">
        <v>162</v>
      </c>
      <c r="K36" s="59">
        <f>(E9/FZ_2020)*ZE_P2020+'COVID-19 Fälle und DRG'!V24</f>
        <v>2293442.591616</v>
      </c>
      <c r="L36" s="59">
        <f>(FZ_Q3/FZ_2020)*ZE_P2020</f>
        <v>2698311.4709760002</v>
      </c>
      <c r="M36" s="59">
        <f t="shared" si="7"/>
        <v>-404868.87936000014</v>
      </c>
      <c r="N36" s="60"/>
    </row>
    <row r="37" spans="1:14" ht="30" hidden="1" customHeight="1" outlineLevel="1" x14ac:dyDescent="0.35">
      <c r="A37" s="248"/>
      <c r="B37" s="62">
        <v>92</v>
      </c>
      <c r="C37" s="251"/>
      <c r="D37" s="223"/>
      <c r="E37" s="63"/>
      <c r="F37" s="64"/>
      <c r="G37" s="63">
        <f>G9+'COVID-19 Fälle und DRG'!P24</f>
        <v>41055</v>
      </c>
      <c r="H37" s="217"/>
      <c r="I37" s="71">
        <f>N9</f>
        <v>1.0054841359152356</v>
      </c>
      <c r="J37" s="67" t="s">
        <v>163</v>
      </c>
      <c r="K37" s="59">
        <f>G9*I9*PEW_NEU+'COVID-19 Fälle und DRG'!T24</f>
        <v>7636827.9720000001</v>
      </c>
      <c r="L37" s="59">
        <f>FZ_Q3*MVD_2020*PMId_P2020*PEW_P2020</f>
        <v>7024463.9100000011</v>
      </c>
      <c r="M37" s="59">
        <f t="shared" si="7"/>
        <v>612364.06199999899</v>
      </c>
      <c r="N37" s="60"/>
    </row>
    <row r="38" spans="1:14" ht="30" hidden="1" customHeight="1" outlineLevel="1" x14ac:dyDescent="0.35">
      <c r="A38" s="248"/>
      <c r="B38" s="62">
        <v>92</v>
      </c>
      <c r="C38" s="251"/>
      <c r="D38" s="69">
        <f>D9+('COVID-19 Fälle und DRG'!P24/(Betten_P2020*Q3_Tage))</f>
        <v>0.73626755852842807</v>
      </c>
      <c r="E38" s="63"/>
      <c r="F38" s="64"/>
      <c r="G38" s="63">
        <f>FZ_Q3*MVD_2020-G37</f>
        <v>6877.2000000000044</v>
      </c>
      <c r="H38" s="217"/>
      <c r="I38" s="217"/>
      <c r="J38" s="67" t="s">
        <v>228</v>
      </c>
      <c r="K38" s="59">
        <f>IF(G38&gt;0,G38*AUS_BET,0)</f>
        <v>2475792.0000000014</v>
      </c>
      <c r="L38" s="59">
        <v>0</v>
      </c>
      <c r="M38" s="59">
        <f t="shared" si="7"/>
        <v>2475792.0000000014</v>
      </c>
      <c r="N38" s="60"/>
    </row>
    <row r="39" spans="1:14" ht="50.25" hidden="1" customHeight="1" outlineLevel="1" x14ac:dyDescent="0.35">
      <c r="A39" s="248"/>
      <c r="B39" s="62">
        <v>92</v>
      </c>
      <c r="C39" s="252"/>
      <c r="D39" s="225"/>
      <c r="E39" s="63">
        <f>E36</f>
        <v>6591</v>
      </c>
      <c r="F39" s="64"/>
      <c r="G39" s="63"/>
      <c r="H39" s="217"/>
      <c r="I39" s="217"/>
      <c r="J39" s="67" t="s">
        <v>244</v>
      </c>
      <c r="K39" s="59">
        <f>E9*PSA+J9*PSA_COV</f>
        <v>330550</v>
      </c>
      <c r="L39" s="59">
        <v>0</v>
      </c>
      <c r="M39" s="59">
        <f t="shared" si="6"/>
        <v>330550</v>
      </c>
      <c r="N39" s="60"/>
    </row>
    <row r="40" spans="1:14" ht="30" customHeight="1" collapsed="1" x14ac:dyDescent="0.35">
      <c r="A40" s="73" t="s">
        <v>176</v>
      </c>
      <c r="B40" s="62"/>
      <c r="C40" s="271"/>
      <c r="D40" s="272"/>
      <c r="E40" s="272"/>
      <c r="F40" s="272"/>
      <c r="G40" s="272"/>
      <c r="H40" s="272"/>
      <c r="I40" s="273"/>
      <c r="J40" s="72" t="s">
        <v>177</v>
      </c>
      <c r="K40" s="59">
        <f>SUM(K35:K39)</f>
        <v>38349872.863216005</v>
      </c>
      <c r="L40" s="59">
        <f>SUM(L35:L39)</f>
        <v>39704013.947376005</v>
      </c>
      <c r="M40" s="59">
        <f>SUM(M35:M39)</f>
        <v>-1354141.0841600006</v>
      </c>
      <c r="N40" s="60"/>
    </row>
    <row r="41" spans="1:14" ht="30" hidden="1" customHeight="1" outlineLevel="1" x14ac:dyDescent="0.35">
      <c r="A41" s="248" t="s">
        <v>102</v>
      </c>
      <c r="B41" s="62">
        <v>92</v>
      </c>
      <c r="C41" s="250"/>
      <c r="D41" s="226"/>
      <c r="E41" s="63">
        <f>E10+'COVID-19 Fälle und DRG'!O25</f>
        <v>7281</v>
      </c>
      <c r="F41" s="64"/>
      <c r="G41" s="63"/>
      <c r="H41" s="66">
        <f>L11</f>
        <v>1.0585052942197537</v>
      </c>
      <c r="I41" s="217"/>
      <c r="J41" s="67" t="s">
        <v>161</v>
      </c>
      <c r="K41" s="59">
        <f>H41*E41*BFW_2020</f>
        <v>28303102.508188792</v>
      </c>
      <c r="L41" s="59">
        <f>FZ_Q4*CMI_P2020*BFW_2020</f>
        <v>31330801.497600004</v>
      </c>
      <c r="M41" s="59">
        <f t="shared" si="6"/>
        <v>-3027698.9894112125</v>
      </c>
      <c r="N41" s="60"/>
    </row>
    <row r="42" spans="1:14" ht="30" hidden="1" customHeight="1" outlineLevel="1" x14ac:dyDescent="0.35">
      <c r="A42" s="248"/>
      <c r="B42" s="62">
        <v>92</v>
      </c>
      <c r="C42" s="251"/>
      <c r="D42" s="226"/>
      <c r="E42" s="63">
        <f>E41</f>
        <v>7281</v>
      </c>
      <c r="F42" s="64"/>
      <c r="G42" s="63"/>
      <c r="H42" s="217"/>
      <c r="I42" s="217"/>
      <c r="J42" s="67" t="s">
        <v>162</v>
      </c>
      <c r="K42" s="59">
        <f>(E10/FZ_2020)*ZE_P2020+'COVID-19 Fälle und DRG'!V25</f>
        <v>2537760.0188159999</v>
      </c>
      <c r="L42" s="59">
        <f>(FZ_Q4/FZ_2020)*ZE_P2020</f>
        <v>2819772.134784</v>
      </c>
      <c r="M42" s="59">
        <f t="shared" si="6"/>
        <v>-282012.11596800014</v>
      </c>
      <c r="N42" s="60"/>
    </row>
    <row r="43" spans="1:14" ht="28.5" hidden="1" customHeight="1" outlineLevel="1" x14ac:dyDescent="0.35">
      <c r="A43" s="248"/>
      <c r="B43" s="62">
        <v>92</v>
      </c>
      <c r="C43" s="251"/>
      <c r="D43" s="227"/>
      <c r="E43" s="63"/>
      <c r="F43" s="64"/>
      <c r="G43" s="63">
        <f>G10+'COVID-19 Fälle und DRG'!P25</f>
        <v>45237.5</v>
      </c>
      <c r="H43" s="217"/>
      <c r="I43" s="71">
        <f>N10</f>
        <v>1.0024885460071842</v>
      </c>
      <c r="J43" s="67" t="s">
        <v>163</v>
      </c>
      <c r="K43" s="59">
        <f>G10*I10*PEW_NEU+'COVID-19 Fälle und DRG'!T25</f>
        <v>8389763.9859999996</v>
      </c>
      <c r="L43" s="59">
        <f>FZ_Q4*MVD_2020*PMId_P2020*PEW_P2020</f>
        <v>7340660.1900000013</v>
      </c>
      <c r="M43" s="59">
        <f t="shared" si="6"/>
        <v>1049103.7959999982</v>
      </c>
      <c r="N43" s="60"/>
    </row>
    <row r="44" spans="1:14" ht="45.75" hidden="1" customHeight="1" outlineLevel="1" x14ac:dyDescent="0.35">
      <c r="A44" s="248"/>
      <c r="B44" s="62">
        <v>92</v>
      </c>
      <c r="C44" s="251"/>
      <c r="D44" s="69">
        <f>D10+('COVID-19 Fälle und DRG'!P25/(Betten_P2020*Q4_Tage))</f>
        <v>0.77663377926421406</v>
      </c>
      <c r="E44" s="63"/>
      <c r="F44" s="64"/>
      <c r="G44" s="63">
        <f>FZ_Q4*MVD_2020-G43</f>
        <v>4852.3000000000029</v>
      </c>
      <c r="H44" s="217"/>
      <c r="I44" s="217"/>
      <c r="J44" s="67" t="s">
        <v>229</v>
      </c>
      <c r="K44" s="59">
        <v>0</v>
      </c>
      <c r="L44" s="59">
        <v>0</v>
      </c>
      <c r="M44" s="59">
        <f t="shared" si="6"/>
        <v>0</v>
      </c>
      <c r="N44" s="60"/>
    </row>
    <row r="45" spans="1:14" ht="45" hidden="1" customHeight="1" outlineLevel="1" x14ac:dyDescent="0.35">
      <c r="A45" s="248"/>
      <c r="B45" s="62">
        <v>92</v>
      </c>
      <c r="C45" s="252"/>
      <c r="D45" s="223"/>
      <c r="E45" s="63">
        <f>E42</f>
        <v>7281</v>
      </c>
      <c r="F45" s="64"/>
      <c r="G45" s="63"/>
      <c r="H45" s="217"/>
      <c r="I45" s="217"/>
      <c r="J45" s="67" t="s">
        <v>244</v>
      </c>
      <c r="K45" s="59">
        <v>0</v>
      </c>
      <c r="L45" s="59">
        <v>0</v>
      </c>
      <c r="M45" s="59">
        <f t="shared" ref="M45:M47" si="8">K45-L45</f>
        <v>0</v>
      </c>
      <c r="N45" s="60"/>
    </row>
    <row r="46" spans="1:14" ht="30" customHeight="1" collapsed="1" x14ac:dyDescent="0.35">
      <c r="A46" s="73" t="s">
        <v>178</v>
      </c>
      <c r="B46" s="62"/>
      <c r="C46" s="268"/>
      <c r="D46" s="269"/>
      <c r="E46" s="269"/>
      <c r="F46" s="269"/>
      <c r="G46" s="269"/>
      <c r="H46" s="269"/>
      <c r="I46" s="270"/>
      <c r="J46" s="72" t="s">
        <v>181</v>
      </c>
      <c r="K46" s="59">
        <f>SUM(K41:K45)</f>
        <v>39230626.513004795</v>
      </c>
      <c r="L46" s="59">
        <f>SUM(L41:L45)</f>
        <v>41491233.822384</v>
      </c>
      <c r="M46" s="59">
        <f>SUM(M41:M45)</f>
        <v>-2260607.3093792144</v>
      </c>
      <c r="N46" s="60"/>
    </row>
    <row r="47" spans="1:14" ht="30" hidden="1" customHeight="1" outlineLevel="1" x14ac:dyDescent="0.35">
      <c r="A47" s="253" t="s">
        <v>240</v>
      </c>
      <c r="B47" s="62"/>
      <c r="C47" s="250"/>
      <c r="D47" s="223"/>
      <c r="E47" s="63">
        <f>F_COVID</f>
        <v>100</v>
      </c>
      <c r="F47" s="64"/>
      <c r="G47" s="228"/>
      <c r="H47" s="66">
        <f>CMI_COVID</f>
        <v>1.77765</v>
      </c>
      <c r="I47" s="228"/>
      <c r="J47" s="67" t="s">
        <v>161</v>
      </c>
      <c r="K47" s="59">
        <f>DRG_COVID</f>
        <v>652824.18599999999</v>
      </c>
      <c r="L47" s="59">
        <v>0</v>
      </c>
      <c r="M47" s="59">
        <f t="shared" si="8"/>
        <v>652824.18599999999</v>
      </c>
      <c r="N47" s="60"/>
    </row>
    <row r="48" spans="1:14" ht="30" hidden="1" customHeight="1" outlineLevel="1" x14ac:dyDescent="0.35">
      <c r="A48" s="254"/>
      <c r="B48" s="62"/>
      <c r="C48" s="251"/>
      <c r="D48" s="227"/>
      <c r="E48" s="63">
        <f>F_COVID</f>
        <v>100</v>
      </c>
      <c r="F48" s="64"/>
      <c r="G48" s="63"/>
      <c r="H48" s="217"/>
      <c r="I48" s="217"/>
      <c r="J48" s="67" t="s">
        <v>162</v>
      </c>
      <c r="K48" s="59">
        <f>ZE_COVID</f>
        <v>0</v>
      </c>
      <c r="L48" s="59">
        <v>0</v>
      </c>
      <c r="M48" s="59">
        <f t="shared" ref="M48:M50" si="9">K48-L48</f>
        <v>0</v>
      </c>
      <c r="N48" s="60"/>
    </row>
    <row r="49" spans="1:14" ht="30" hidden="1" customHeight="1" outlineLevel="1" x14ac:dyDescent="0.35">
      <c r="A49" s="254"/>
      <c r="B49" s="62"/>
      <c r="C49" s="251"/>
      <c r="D49" s="69">
        <f t="shared" ref="D49" si="10">G49/(Tage_2020*Betten_P2020)</f>
        <v>6.6204287515762928E-3</v>
      </c>
      <c r="E49" s="63"/>
      <c r="F49" s="64"/>
      <c r="G49" s="63">
        <f>T_COVID</f>
        <v>1575</v>
      </c>
      <c r="H49" s="217"/>
      <c r="I49" s="229">
        <f>PMId_COVID</f>
        <v>1.7147657142857142</v>
      </c>
      <c r="J49" s="67" t="s">
        <v>163</v>
      </c>
      <c r="K49" s="59">
        <f>PE_COVID</f>
        <v>499639.86</v>
      </c>
      <c r="L49" s="59">
        <v>0</v>
      </c>
      <c r="M49" s="59">
        <f t="shared" si="9"/>
        <v>499639.86</v>
      </c>
      <c r="N49" s="60"/>
    </row>
    <row r="50" spans="1:14" ht="30" hidden="1" customHeight="1" outlineLevel="1" x14ac:dyDescent="0.35">
      <c r="A50" s="255"/>
      <c r="B50" s="62"/>
      <c r="C50" s="252"/>
      <c r="D50" s="230"/>
      <c r="E50" s="63">
        <f>J8+J9</f>
        <v>70</v>
      </c>
      <c r="F50" s="64"/>
      <c r="G50" s="63"/>
      <c r="H50" s="217"/>
      <c r="I50" s="217"/>
      <c r="J50" s="67" t="s">
        <v>215</v>
      </c>
      <c r="K50" s="59">
        <f>E50*PSA_COV</f>
        <v>7000</v>
      </c>
      <c r="L50" s="59">
        <v>0</v>
      </c>
      <c r="M50" s="59">
        <f t="shared" si="9"/>
        <v>7000</v>
      </c>
      <c r="N50" s="60"/>
    </row>
    <row r="51" spans="1:14" ht="27" customHeight="1" collapsed="1" x14ac:dyDescent="0.35">
      <c r="A51" s="50" t="s">
        <v>241</v>
      </c>
      <c r="B51" s="50"/>
      <c r="C51" s="241"/>
      <c r="D51" s="242"/>
      <c r="E51" s="242"/>
      <c r="F51" s="242"/>
      <c r="G51" s="242"/>
      <c r="H51" s="242"/>
      <c r="I51" s="243"/>
      <c r="J51" s="72" t="s">
        <v>179</v>
      </c>
      <c r="K51" s="59">
        <f>SUM(K47:K50)</f>
        <v>1159464.0460000001</v>
      </c>
      <c r="L51" s="59">
        <v>0</v>
      </c>
      <c r="M51" s="59">
        <f>K51-L51</f>
        <v>1159464.0460000001</v>
      </c>
      <c r="N51" s="60"/>
    </row>
  </sheetData>
  <sheetProtection algorithmName="SHA-512" hashValue="Y36ii4wqDBSxnMJ8nww/N+9zgyiPOil1bUP1WxkFIYsPiZ7U2Lh/f1dRn7Z+LV/nAk95ZswLzhriNwvkQ9ZOww==" saltValue="TU+n5mUpjR7Ai5iKepZD4A==" spinCount="100000" sheet="1" formatCells="0" formatColumns="0" formatRows="0" autoFilter="0"/>
  <autoFilter ref="J14:J51" xr:uid="{84188B51-3746-4F55-9B5C-79A7CB509261}"/>
  <mergeCells count="21">
    <mergeCell ref="C46:I46"/>
    <mergeCell ref="C40:I40"/>
    <mergeCell ref="C34:I34"/>
    <mergeCell ref="C28:I28"/>
    <mergeCell ref="C47:C50"/>
    <mergeCell ref="C51:I51"/>
    <mergeCell ref="A15:A19"/>
    <mergeCell ref="D4:I4"/>
    <mergeCell ref="A29:A33"/>
    <mergeCell ref="A35:A39"/>
    <mergeCell ref="A41:A45"/>
    <mergeCell ref="A24:A27"/>
    <mergeCell ref="C29:C33"/>
    <mergeCell ref="C35:C39"/>
    <mergeCell ref="C41:C45"/>
    <mergeCell ref="C24:C27"/>
    <mergeCell ref="D13:I13"/>
    <mergeCell ref="A47:A50"/>
    <mergeCell ref="A21:A23"/>
    <mergeCell ref="C21:C23"/>
    <mergeCell ref="C15:I19"/>
  </mergeCells>
  <conditionalFormatting sqref="K15:M51">
    <cfRule type="expression" dxfId="71" priority="2">
      <formula>K15&gt;0</formula>
    </cfRule>
  </conditionalFormatting>
  <conditionalFormatting sqref="K15:M51">
    <cfRule type="expression" dxfId="70" priority="1">
      <formula>K15&lt;0</formula>
    </cfRule>
  </conditionalFormatting>
  <pageMargins left="0.7" right="0.7" top="0.78740157499999996" bottom="0.78740157499999996" header="0.3" footer="0.3"/>
  <pageSetup paperSize="9" orientation="portrait" r:id="rId1"/>
  <ignoredErrors>
    <ignoredError sqref="L11:M11 M34 M40 M4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88E67-BEBC-4799-9B5C-17A588C0AC91}">
  <sheetPr>
    <tabColor theme="6"/>
  </sheetPr>
  <dimension ref="A1:N23"/>
  <sheetViews>
    <sheetView tabSelected="1" zoomScaleNormal="100" workbookViewId="0">
      <selection activeCell="I18" sqref="I18"/>
    </sheetView>
  </sheetViews>
  <sheetFormatPr baseColWidth="10" defaultColWidth="10.6328125" defaultRowHeight="14.5" x14ac:dyDescent="0.35"/>
  <cols>
    <col min="1" max="1" width="9.6328125" style="15" customWidth="1"/>
    <col min="2" max="2" width="27.453125" style="15" customWidth="1"/>
    <col min="3" max="3" width="49.54296875" style="15" customWidth="1"/>
    <col min="4" max="4" width="19.6328125" style="15" customWidth="1"/>
    <col min="5" max="5" width="2.36328125" style="15" customWidth="1"/>
    <col min="6" max="6" width="15.36328125" style="15" customWidth="1"/>
    <col min="7" max="7" width="9.36328125" style="15" customWidth="1"/>
    <col min="8" max="8" width="12.81640625" style="15" customWidth="1"/>
    <col min="9" max="9" width="12" style="15" customWidth="1"/>
    <col min="10" max="10" width="10.6328125" style="15"/>
    <col min="11" max="11" width="13.6328125" style="15" customWidth="1"/>
    <col min="12" max="12" width="11.36328125" style="15" bestFit="1" customWidth="1"/>
    <col min="13" max="16384" width="10.6328125" style="15"/>
  </cols>
  <sheetData>
    <row r="1" spans="1:14" ht="15.5" x14ac:dyDescent="0.35">
      <c r="A1" s="39" t="s">
        <v>105</v>
      </c>
      <c r="I1" s="76"/>
    </row>
    <row r="2" spans="1:14" s="76" customFormat="1" ht="12" x14ac:dyDescent="0.3">
      <c r="D2" s="42" t="s">
        <v>81</v>
      </c>
      <c r="F2" s="277" t="s">
        <v>213</v>
      </c>
      <c r="G2" s="278"/>
    </row>
    <row r="3" spans="1:14" s="76" customFormat="1" ht="13" x14ac:dyDescent="0.3">
      <c r="A3" s="77"/>
    </row>
    <row r="4" spans="1:14" s="76" customFormat="1" ht="15" customHeight="1" x14ac:dyDescent="0.3">
      <c r="A4" s="279" t="s">
        <v>140</v>
      </c>
      <c r="B4" s="279"/>
      <c r="C4" s="279"/>
      <c r="D4" s="78"/>
      <c r="E4" s="79"/>
      <c r="F4" s="279" t="s">
        <v>82</v>
      </c>
      <c r="G4" s="279"/>
      <c r="H4" s="279"/>
      <c r="I4" s="279"/>
      <c r="J4" s="80" t="s">
        <v>91</v>
      </c>
      <c r="K4" s="80" t="s">
        <v>92</v>
      </c>
    </row>
    <row r="5" spans="1:14" s="76" customFormat="1" ht="15" customHeight="1" x14ac:dyDescent="0.3">
      <c r="A5" s="274" t="s">
        <v>63</v>
      </c>
      <c r="B5" s="275"/>
      <c r="C5" s="276"/>
      <c r="D5" s="93">
        <v>650</v>
      </c>
      <c r="E5" s="81"/>
      <c r="F5" s="283" t="s">
        <v>86</v>
      </c>
      <c r="G5" s="283"/>
      <c r="H5" s="283"/>
      <c r="I5" s="82">
        <f>K5-J5+1</f>
        <v>366</v>
      </c>
      <c r="J5" s="83">
        <v>43831</v>
      </c>
      <c r="K5" s="83">
        <v>44196</v>
      </c>
      <c r="N5" s="216">
        <v>360</v>
      </c>
    </row>
    <row r="6" spans="1:14" s="76" customFormat="1" ht="15" customHeight="1" x14ac:dyDescent="0.3">
      <c r="A6" s="274" t="s">
        <v>214</v>
      </c>
      <c r="B6" s="275"/>
      <c r="C6" s="276"/>
      <c r="D6" s="84">
        <f>(FZ_2020*MVD_2020)/(D5*I5)</f>
        <v>0.86002522068095844</v>
      </c>
      <c r="E6" s="81"/>
      <c r="F6" s="280" t="s">
        <v>158</v>
      </c>
      <c r="G6" s="281"/>
      <c r="H6" s="282"/>
      <c r="I6" s="82">
        <f>K6-J6+1</f>
        <v>75</v>
      </c>
      <c r="J6" s="83">
        <v>43831</v>
      </c>
      <c r="K6" s="83">
        <v>43905</v>
      </c>
      <c r="N6" s="216">
        <v>460</v>
      </c>
    </row>
    <row r="7" spans="1:14" s="76" customFormat="1" ht="15" customHeight="1" x14ac:dyDescent="0.3">
      <c r="A7" s="274" t="s">
        <v>224</v>
      </c>
      <c r="B7" s="275"/>
      <c r="C7" s="276"/>
      <c r="D7" s="94">
        <v>33000</v>
      </c>
      <c r="E7" s="81"/>
      <c r="F7" s="280" t="s">
        <v>207</v>
      </c>
      <c r="G7" s="281"/>
      <c r="H7" s="282"/>
      <c r="I7" s="82">
        <f>K7-J7+1</f>
        <v>16</v>
      </c>
      <c r="J7" s="83">
        <v>43906</v>
      </c>
      <c r="K7" s="83">
        <v>43921</v>
      </c>
      <c r="N7" s="216">
        <v>560</v>
      </c>
    </row>
    <row r="8" spans="1:14" s="76" customFormat="1" ht="15" customHeight="1" x14ac:dyDescent="0.3">
      <c r="A8" s="274" t="s">
        <v>226</v>
      </c>
      <c r="B8" s="275"/>
      <c r="C8" s="276"/>
      <c r="D8" s="206">
        <f>ROUND((FZ_Q1/Q1_Tage)*Tage_VOR,0)</f>
        <v>7178</v>
      </c>
      <c r="E8" s="81"/>
      <c r="F8" s="280" t="s">
        <v>208</v>
      </c>
      <c r="G8" s="281"/>
      <c r="H8" s="282"/>
      <c r="I8" s="82">
        <f t="shared" ref="I8" si="0">K8-J8+1</f>
        <v>91</v>
      </c>
      <c r="J8" s="83">
        <v>43831</v>
      </c>
      <c r="K8" s="83">
        <v>43921</v>
      </c>
      <c r="N8" s="216">
        <v>660</v>
      </c>
    </row>
    <row r="9" spans="1:14" s="76" customFormat="1" ht="15" customHeight="1" x14ac:dyDescent="0.3">
      <c r="A9" s="274" t="s">
        <v>227</v>
      </c>
      <c r="B9" s="275"/>
      <c r="C9" s="276"/>
      <c r="D9" s="206">
        <f>ROUND(FZ_Q1/Q1_Tage*Tage_maerz,0)</f>
        <v>1531</v>
      </c>
      <c r="E9" s="85"/>
      <c r="F9" s="292" t="s">
        <v>87</v>
      </c>
      <c r="G9" s="293"/>
      <c r="H9" s="294"/>
      <c r="I9" s="82">
        <f>K9-J9+1</f>
        <v>91</v>
      </c>
      <c r="J9" s="83">
        <v>43922</v>
      </c>
      <c r="K9" s="83">
        <v>44012</v>
      </c>
      <c r="N9" s="216">
        <v>760</v>
      </c>
    </row>
    <row r="10" spans="1:14" s="32" customFormat="1" ht="15" customHeight="1" x14ac:dyDescent="0.35">
      <c r="A10" s="274" t="s">
        <v>84</v>
      </c>
      <c r="B10" s="275"/>
      <c r="C10" s="276"/>
      <c r="D10" s="95">
        <v>1.056</v>
      </c>
      <c r="F10" s="292" t="s">
        <v>88</v>
      </c>
      <c r="G10" s="293"/>
      <c r="H10" s="294"/>
      <c r="I10" s="82">
        <f>K10-J10+1</f>
        <v>92</v>
      </c>
      <c r="J10" s="83">
        <v>44013</v>
      </c>
      <c r="K10" s="83">
        <v>44104</v>
      </c>
    </row>
    <row r="11" spans="1:14" s="32" customFormat="1" ht="15" customHeight="1" x14ac:dyDescent="0.35">
      <c r="A11" s="274" t="s">
        <v>85</v>
      </c>
      <c r="B11" s="275"/>
      <c r="C11" s="276"/>
      <c r="D11" s="96">
        <v>1</v>
      </c>
      <c r="F11" s="292" t="s">
        <v>89</v>
      </c>
      <c r="G11" s="293"/>
      <c r="H11" s="294"/>
      <c r="I11" s="82">
        <f>K11-J11+1</f>
        <v>92</v>
      </c>
      <c r="J11" s="83">
        <v>44105</v>
      </c>
      <c r="K11" s="83">
        <v>44196</v>
      </c>
    </row>
    <row r="12" spans="1:14" s="32" customFormat="1" ht="15" customHeight="1" x14ac:dyDescent="0.35">
      <c r="A12" s="274" t="s">
        <v>97</v>
      </c>
      <c r="B12" s="275"/>
      <c r="C12" s="276"/>
      <c r="D12" s="97">
        <v>6.2</v>
      </c>
      <c r="F12" s="187" t="s">
        <v>90</v>
      </c>
      <c r="G12" s="188"/>
      <c r="H12" s="189"/>
      <c r="I12" s="82">
        <f>K12-J12+1</f>
        <v>183</v>
      </c>
      <c r="J12" s="218">
        <v>43922</v>
      </c>
      <c r="K12" s="218">
        <v>44104</v>
      </c>
      <c r="L12" s="86" t="s">
        <v>113</v>
      </c>
    </row>
    <row r="13" spans="1:14" s="32" customFormat="1" ht="15" customHeight="1" x14ac:dyDescent="0.35">
      <c r="F13" s="289" t="s">
        <v>230</v>
      </c>
      <c r="G13" s="290"/>
      <c r="H13" s="291"/>
      <c r="I13" s="82">
        <f>K13-J13</f>
        <v>198</v>
      </c>
      <c r="J13" s="218">
        <v>43906</v>
      </c>
      <c r="K13" s="218">
        <v>44104</v>
      </c>
      <c r="L13" s="86" t="s">
        <v>113</v>
      </c>
    </row>
    <row r="14" spans="1:14" s="32" customFormat="1" x14ac:dyDescent="0.35">
      <c r="A14" s="279" t="s">
        <v>114</v>
      </c>
      <c r="B14" s="279"/>
      <c r="C14" s="279"/>
      <c r="D14" s="78"/>
      <c r="F14" s="280" t="s">
        <v>232</v>
      </c>
      <c r="G14" s="281"/>
      <c r="H14" s="282"/>
      <c r="I14" s="219">
        <v>50</v>
      </c>
      <c r="J14" s="220">
        <v>43922</v>
      </c>
      <c r="K14" s="220">
        <v>44104</v>
      </c>
      <c r="L14" s="86" t="s">
        <v>113</v>
      </c>
    </row>
    <row r="15" spans="1:14" s="32" customFormat="1" x14ac:dyDescent="0.35">
      <c r="A15" s="287" t="s">
        <v>205</v>
      </c>
      <c r="B15" s="288"/>
      <c r="C15" s="100" t="s">
        <v>189</v>
      </c>
      <c r="D15" s="87">
        <f>VLOOKUP(C15,LBFW!$A$3:$B$18,2,FALSE)</f>
        <v>3672.4</v>
      </c>
      <c r="F15" s="280" t="s">
        <v>243</v>
      </c>
      <c r="G15" s="281"/>
      <c r="H15" s="282"/>
      <c r="I15" s="219">
        <v>100</v>
      </c>
      <c r="J15" s="220">
        <v>44013</v>
      </c>
      <c r="K15" s="220">
        <v>44104</v>
      </c>
      <c r="L15" s="86"/>
    </row>
    <row r="16" spans="1:14" s="32" customFormat="1" ht="15" customHeight="1" x14ac:dyDescent="0.35">
      <c r="A16" s="274" t="s">
        <v>93</v>
      </c>
      <c r="B16" s="276"/>
      <c r="C16" s="88" t="s">
        <v>94</v>
      </c>
      <c r="D16" s="89">
        <f>FZ_2020*CMI_P2020*$D$15</f>
        <v>127975795.2</v>
      </c>
      <c r="F16" s="280" t="s">
        <v>231</v>
      </c>
      <c r="G16" s="281"/>
      <c r="H16" s="282"/>
      <c r="I16" s="219">
        <v>560</v>
      </c>
      <c r="J16" s="220">
        <v>43906</v>
      </c>
      <c r="K16" s="220">
        <v>44012</v>
      </c>
      <c r="L16" s="86" t="s">
        <v>113</v>
      </c>
    </row>
    <row r="17" spans="1:13" x14ac:dyDescent="0.35">
      <c r="A17" s="274" t="s">
        <v>95</v>
      </c>
      <c r="B17" s="276"/>
      <c r="C17" s="88" t="s">
        <v>98</v>
      </c>
      <c r="D17" s="98">
        <f>0.09*D16</f>
        <v>11517821.568</v>
      </c>
      <c r="E17" s="91"/>
      <c r="F17" s="280" t="s">
        <v>231</v>
      </c>
      <c r="G17" s="281"/>
      <c r="H17" s="282"/>
      <c r="I17" s="231">
        <v>360</v>
      </c>
      <c r="J17" s="220">
        <v>44013</v>
      </c>
      <c r="K17" s="220">
        <v>44104</v>
      </c>
      <c r="L17" s="86" t="s">
        <v>113</v>
      </c>
      <c r="M17" s="32"/>
    </row>
    <row r="18" spans="1:13" x14ac:dyDescent="0.35">
      <c r="A18" s="274" t="s">
        <v>83</v>
      </c>
      <c r="B18" s="276"/>
      <c r="C18" s="88" t="s">
        <v>96</v>
      </c>
      <c r="D18" s="89">
        <f>FZ_2020*PMId_P2020*MVD_2020*PEW_P2020</f>
        <v>29984130.000000004</v>
      </c>
      <c r="F18" s="289" t="s">
        <v>218</v>
      </c>
      <c r="G18" s="290"/>
      <c r="H18" s="291"/>
      <c r="I18" s="99">
        <v>146.55000000000001</v>
      </c>
      <c r="J18" s="32"/>
      <c r="K18" s="32"/>
    </row>
    <row r="19" spans="1:13" ht="27" customHeight="1" x14ac:dyDescent="0.35">
      <c r="A19" s="284" t="s">
        <v>106</v>
      </c>
      <c r="B19" s="285"/>
      <c r="C19" s="286"/>
      <c r="D19" s="90">
        <f>SUM(D16:D18)</f>
        <v>169477746.76800001</v>
      </c>
      <c r="F19" s="297" t="s">
        <v>233</v>
      </c>
      <c r="G19" s="298"/>
      <c r="H19" s="299"/>
      <c r="I19" s="215">
        <v>185</v>
      </c>
      <c r="J19" s="295" t="str">
        <f>IF(PEW_NEU&gt;=185,"o.k.","Mindestwert € 185.-!")</f>
        <v>o.k.</v>
      </c>
      <c r="K19" s="296"/>
    </row>
    <row r="20" spans="1:13" x14ac:dyDescent="0.35">
      <c r="F20" s="289" t="str">
        <f>"Basisfallwert 2020 für: "&amp;C15</f>
        <v>Basisfallwert 2020 für: Baden-Württemberg</v>
      </c>
      <c r="G20" s="290"/>
      <c r="H20" s="291"/>
      <c r="I20" s="92">
        <f>D15</f>
        <v>3672.4</v>
      </c>
      <c r="J20" s="32"/>
      <c r="K20" s="32"/>
    </row>
    <row r="21" spans="1:13" x14ac:dyDescent="0.35">
      <c r="F21" s="289" t="s">
        <v>234</v>
      </c>
      <c r="G21" s="290"/>
      <c r="H21" s="291"/>
      <c r="I21" s="207">
        <v>0.2</v>
      </c>
      <c r="J21" s="32"/>
      <c r="K21" s="32"/>
    </row>
    <row r="22" spans="1:13" x14ac:dyDescent="0.35">
      <c r="F22" s="289" t="s">
        <v>235</v>
      </c>
      <c r="G22" s="290"/>
      <c r="H22" s="291"/>
      <c r="I22" s="207">
        <v>0.15</v>
      </c>
    </row>
    <row r="23" spans="1:13" x14ac:dyDescent="0.35">
      <c r="F23" s="289" t="s">
        <v>236</v>
      </c>
      <c r="G23" s="290"/>
      <c r="H23" s="291"/>
      <c r="I23" s="207">
        <v>0.1</v>
      </c>
    </row>
  </sheetData>
  <sheetProtection algorithmName="SHA-512" hashValue="iA0D4mHEm+7dglhFCVg1bRpQJyAg/R9UwioEdLG+kDcPlIL0IjMQbRsdT/xNPkqlGUtAGy/HAhBJDEV7qATblg==" saltValue="rZ4H+4wjMw1kHtdLzadvyg==" spinCount="100000" sheet="1" objects="1" scenarios="1"/>
  <mergeCells count="36">
    <mergeCell ref="F20:H20"/>
    <mergeCell ref="F21:H21"/>
    <mergeCell ref="F22:H22"/>
    <mergeCell ref="F23:H23"/>
    <mergeCell ref="J19:K19"/>
    <mergeCell ref="F19:H19"/>
    <mergeCell ref="F18:H18"/>
    <mergeCell ref="F8:H8"/>
    <mergeCell ref="F9:H9"/>
    <mergeCell ref="F10:H10"/>
    <mergeCell ref="F11:H11"/>
    <mergeCell ref="F14:H14"/>
    <mergeCell ref="F13:H13"/>
    <mergeCell ref="F17:H17"/>
    <mergeCell ref="F15:H15"/>
    <mergeCell ref="F16:H16"/>
    <mergeCell ref="A19:C19"/>
    <mergeCell ref="A11:C11"/>
    <mergeCell ref="A10:C10"/>
    <mergeCell ref="A14:C14"/>
    <mergeCell ref="A16:B16"/>
    <mergeCell ref="A17:B17"/>
    <mergeCell ref="A15:B15"/>
    <mergeCell ref="A18:B18"/>
    <mergeCell ref="A12:C12"/>
    <mergeCell ref="A8:C8"/>
    <mergeCell ref="A9:C9"/>
    <mergeCell ref="F2:G2"/>
    <mergeCell ref="A4:C4"/>
    <mergeCell ref="F7:H7"/>
    <mergeCell ref="F6:H6"/>
    <mergeCell ref="F4:I4"/>
    <mergeCell ref="F5:H5"/>
    <mergeCell ref="A5:C5"/>
    <mergeCell ref="A6:C6"/>
    <mergeCell ref="A7:C7"/>
  </mergeCells>
  <phoneticPr fontId="3" type="noConversion"/>
  <conditionalFormatting sqref="F12 F5:F9">
    <cfRule type="expression" dxfId="69" priority="70">
      <formula>$D$7=""</formula>
    </cfRule>
    <cfRule type="expression" dxfId="68" priority="71">
      <formula>$D$7="Erlöse in EUR"</formula>
    </cfRule>
  </conditionalFormatting>
  <conditionalFormatting sqref="F10">
    <cfRule type="expression" dxfId="67" priority="28">
      <formula>$D$7=""</formula>
    </cfRule>
    <cfRule type="expression" dxfId="66" priority="29">
      <formula>$D$7="Erlöse in EUR"</formula>
    </cfRule>
  </conditionalFormatting>
  <conditionalFormatting sqref="F11">
    <cfRule type="expression" dxfId="65" priority="26">
      <formula>$D$7=""</formula>
    </cfRule>
    <cfRule type="expression" dxfId="64" priority="27">
      <formula>$D$7="Erlöse in EUR"</formula>
    </cfRule>
  </conditionalFormatting>
  <conditionalFormatting sqref="F13:F14">
    <cfRule type="expression" dxfId="63" priority="24">
      <formula>$D$7=""</formula>
    </cfRule>
    <cfRule type="expression" dxfId="62" priority="25">
      <formula>$D$7="Erlöse in EUR"</formula>
    </cfRule>
  </conditionalFormatting>
  <conditionalFormatting sqref="F17:F20">
    <cfRule type="expression" dxfId="61" priority="22">
      <formula>$D$7=""</formula>
    </cfRule>
    <cfRule type="expression" dxfId="60" priority="23">
      <formula>$D$7="Erlöse in EUR"</formula>
    </cfRule>
  </conditionalFormatting>
  <conditionalFormatting sqref="F7">
    <cfRule type="expression" dxfId="59" priority="9">
      <formula>$D$7=""</formula>
    </cfRule>
    <cfRule type="expression" dxfId="58" priority="10">
      <formula>$D$7="Erlöse in EUR"</formula>
    </cfRule>
  </conditionalFormatting>
  <conditionalFormatting sqref="J19">
    <cfRule type="cellIs" dxfId="57" priority="7" operator="equal">
      <formula>"Mindestwert € 185.-!"</formula>
    </cfRule>
    <cfRule type="cellIs" dxfId="56" priority="8" operator="equal">
      <formula>"o.k."</formula>
    </cfRule>
  </conditionalFormatting>
  <conditionalFormatting sqref="F21:F23">
    <cfRule type="expression" dxfId="55" priority="5">
      <formula>$D$7=""</formula>
    </cfRule>
    <cfRule type="expression" dxfId="54" priority="6">
      <formula>$D$7="Erlöse in EUR"</formula>
    </cfRule>
  </conditionalFormatting>
  <conditionalFormatting sqref="F15">
    <cfRule type="expression" dxfId="53" priority="3">
      <formula>$D$7=""</formula>
    </cfRule>
    <cfRule type="expression" dxfId="52" priority="4">
      <formula>$D$7="Erlöse in EUR"</formula>
    </cfRule>
  </conditionalFormatting>
  <conditionalFormatting sqref="F16">
    <cfRule type="expression" dxfId="51" priority="1">
      <formula>$D$7=""</formula>
    </cfRule>
    <cfRule type="expression" dxfId="50" priority="2">
      <formula>$D$7="Erlöse in EUR"</formula>
    </cfRule>
  </conditionalFormatting>
  <dataValidations count="1">
    <dataValidation type="list" allowBlank="1" showInputMessage="1" showErrorMessage="1" sqref="I17" xr:uid="{1346EF39-EB41-4545-A1A5-F1055F38610E}">
      <formula1>$N$5:$N$9</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2A6289A-264F-419B-AFB1-BE9F75EB273B}">
          <x14:formula1>
            <xm:f>LBFW!$A$3:$A$18</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B14F-944B-4D80-9142-276016EADA57}">
  <sheetPr>
    <tabColor theme="6"/>
  </sheetPr>
  <dimension ref="A1:AY58"/>
  <sheetViews>
    <sheetView zoomScaleNormal="100" workbookViewId="0">
      <selection activeCell="G37" sqref="G37"/>
    </sheetView>
  </sheetViews>
  <sheetFormatPr baseColWidth="10" defaultColWidth="10.6328125" defaultRowHeight="14.5" outlineLevelRow="1" x14ac:dyDescent="0.35"/>
  <cols>
    <col min="1" max="1" width="3" style="15" customWidth="1"/>
    <col min="2" max="2" width="36" style="115" customWidth="1"/>
    <col min="3" max="3" width="11.6328125" style="115" customWidth="1"/>
    <col min="4" max="4" width="15.08984375" style="115" customWidth="1"/>
    <col min="5" max="5" width="15" style="115" bestFit="1" customWidth="1"/>
    <col min="6" max="6" width="6.08984375" style="115" customWidth="1"/>
    <col min="7" max="7" width="11.36328125" style="115" customWidth="1"/>
    <col min="8" max="8" width="13.08984375" style="115" customWidth="1"/>
    <col min="9" max="9" width="13.6328125" style="115" customWidth="1"/>
    <col min="10" max="10" width="10.36328125" style="115" customWidth="1"/>
    <col min="11" max="11" width="14.08984375" style="115" customWidth="1"/>
    <col min="12" max="12" width="13.08984375" style="115" customWidth="1"/>
    <col min="13" max="13" width="11.81640625" style="115" customWidth="1"/>
    <col min="14" max="14" width="9" style="115" bestFit="1" customWidth="1"/>
    <col min="15" max="15" width="6.36328125" style="115" customWidth="1"/>
    <col min="16" max="16" width="6.54296875" style="115" bestFit="1" customWidth="1"/>
    <col min="17" max="17" width="8.81640625" style="115" customWidth="1"/>
    <col min="18" max="18" width="11.6328125" style="115" bestFit="1" customWidth="1"/>
    <col min="19" max="19" width="14" style="115" bestFit="1" customWidth="1"/>
    <col min="20" max="20" width="20.36328125" style="115" bestFit="1" customWidth="1"/>
    <col min="21" max="21" width="14.08984375" style="115" customWidth="1"/>
    <col min="22" max="22" width="13.54296875" style="115" customWidth="1"/>
    <col min="23" max="23" width="15.81640625" style="115" customWidth="1"/>
    <col min="24" max="24" width="14.6328125" style="115" customWidth="1"/>
    <col min="25" max="25" width="21.08984375" style="115" customWidth="1"/>
    <col min="26" max="51" width="11.36328125" style="15"/>
    <col min="52" max="16384" width="10.6328125" style="115"/>
  </cols>
  <sheetData>
    <row r="1" spans="2:51" s="118" customFormat="1" ht="15.5" x14ac:dyDescent="0.35">
      <c r="B1" s="39" t="s">
        <v>80</v>
      </c>
    </row>
    <row r="2" spans="2:51" s="118" customFormat="1" x14ac:dyDescent="0.35"/>
    <row r="3" spans="2:51" x14ac:dyDescent="0.35">
      <c r="B3" s="119" t="s">
        <v>74</v>
      </c>
      <c r="C3" s="120">
        <f>SUM(Erlöseffekte!J6:J10)</f>
        <v>100</v>
      </c>
      <c r="D3" s="121"/>
      <c r="E3" s="42" t="s">
        <v>81</v>
      </c>
      <c r="F3" s="122"/>
      <c r="G3" s="123"/>
      <c r="H3" s="123"/>
      <c r="I3" s="123"/>
      <c r="J3" s="123"/>
      <c r="K3" s="15"/>
      <c r="L3" s="15"/>
      <c r="M3" s="15"/>
      <c r="N3" s="15"/>
      <c r="O3" s="15"/>
      <c r="P3" s="15"/>
      <c r="Q3" s="15"/>
      <c r="R3" s="15"/>
      <c r="S3" s="15"/>
      <c r="T3" s="15"/>
      <c r="U3" s="15"/>
      <c r="V3" s="15"/>
      <c r="W3" s="15"/>
      <c r="X3" s="15"/>
      <c r="Y3" s="15"/>
      <c r="AW3" s="115"/>
      <c r="AX3" s="115"/>
      <c r="AY3" s="115"/>
    </row>
    <row r="4" spans="2:51" ht="24" x14ac:dyDescent="0.35">
      <c r="B4" s="124" t="s">
        <v>75</v>
      </c>
      <c r="C4" s="125"/>
      <c r="D4" s="76"/>
      <c r="E4" s="15"/>
      <c r="F4" s="15"/>
      <c r="G4" s="15"/>
      <c r="H4" s="15"/>
      <c r="I4" s="15"/>
      <c r="J4" s="15"/>
      <c r="K4" s="15"/>
      <c r="L4" s="15"/>
      <c r="M4" s="15"/>
      <c r="N4" s="15"/>
      <c r="O4" s="15"/>
      <c r="P4" s="15"/>
      <c r="Q4" s="15"/>
      <c r="R4" s="15"/>
      <c r="S4" s="15"/>
      <c r="T4" s="15"/>
      <c r="U4" s="15"/>
      <c r="V4" s="15"/>
      <c r="W4" s="15"/>
      <c r="X4" s="15"/>
      <c r="Y4" s="15"/>
      <c r="AW4" s="115"/>
      <c r="AX4" s="115"/>
      <c r="AY4" s="115"/>
    </row>
    <row r="5" spans="2:51" x14ac:dyDescent="0.35">
      <c r="B5" s="119" t="s">
        <v>0</v>
      </c>
      <c r="C5" s="194">
        <v>0.75</v>
      </c>
      <c r="D5" s="126"/>
      <c r="E5" s="15"/>
      <c r="F5" s="15"/>
      <c r="G5" s="15"/>
      <c r="H5" s="15"/>
      <c r="I5" s="15"/>
      <c r="J5" s="15"/>
      <c r="K5" s="15"/>
      <c r="L5" s="15"/>
      <c r="M5" s="15"/>
      <c r="N5" s="15"/>
      <c r="O5" s="15"/>
      <c r="P5" s="15"/>
      <c r="Q5" s="15"/>
      <c r="R5" s="15"/>
      <c r="S5" s="15"/>
      <c r="T5" s="15"/>
      <c r="U5" s="15"/>
      <c r="V5" s="15"/>
      <c r="W5" s="15"/>
      <c r="X5" s="15"/>
      <c r="Y5" s="15"/>
      <c r="AW5" s="115"/>
      <c r="AX5" s="115"/>
      <c r="AY5" s="115"/>
    </row>
    <row r="6" spans="2:51" x14ac:dyDescent="0.35">
      <c r="B6" s="119" t="s">
        <v>2</v>
      </c>
      <c r="C6" s="194">
        <v>0.1</v>
      </c>
      <c r="D6" s="76"/>
      <c r="E6" s="15"/>
      <c r="F6" s="15"/>
      <c r="G6" s="15"/>
      <c r="H6" s="15"/>
      <c r="I6" s="15"/>
      <c r="J6" s="15"/>
      <c r="K6" s="15"/>
      <c r="L6" s="15"/>
      <c r="M6" s="15"/>
      <c r="N6" s="15"/>
      <c r="O6" s="15"/>
      <c r="P6" s="15"/>
      <c r="Q6" s="15"/>
      <c r="R6" s="15"/>
      <c r="S6" s="15"/>
      <c r="T6" s="15"/>
      <c r="U6" s="15"/>
      <c r="V6" s="15"/>
      <c r="W6" s="15"/>
      <c r="X6" s="15"/>
      <c r="Y6" s="15"/>
      <c r="AW6" s="115"/>
      <c r="AX6" s="115"/>
      <c r="AY6" s="115"/>
    </row>
    <row r="7" spans="2:51" x14ac:dyDescent="0.35">
      <c r="B7" s="119" t="s">
        <v>3</v>
      </c>
      <c r="C7" s="194">
        <v>0.15</v>
      </c>
      <c r="D7" s="76"/>
      <c r="E7" s="15"/>
      <c r="F7" s="15"/>
      <c r="G7" s="15"/>
      <c r="H7" s="15"/>
      <c r="I7" s="15"/>
      <c r="J7" s="15"/>
      <c r="K7" s="15"/>
      <c r="L7" s="15"/>
      <c r="M7" s="15"/>
      <c r="N7" s="15"/>
      <c r="O7" s="15"/>
      <c r="P7" s="15"/>
      <c r="Q7" s="15"/>
      <c r="R7" s="15"/>
      <c r="S7" s="15"/>
      <c r="T7" s="15"/>
      <c r="U7" s="15"/>
      <c r="V7" s="15"/>
      <c r="W7" s="15"/>
      <c r="X7" s="15"/>
      <c r="Y7" s="15"/>
      <c r="AW7" s="115"/>
      <c r="AX7" s="115"/>
      <c r="AY7" s="115"/>
    </row>
    <row r="8" spans="2:51" x14ac:dyDescent="0.35">
      <c r="B8" s="119" t="s">
        <v>34</v>
      </c>
      <c r="C8" s="194">
        <v>0</v>
      </c>
      <c r="D8" s="76"/>
      <c r="E8" s="15"/>
      <c r="F8" s="15"/>
      <c r="G8" s="15"/>
      <c r="H8" s="15"/>
      <c r="I8" s="15"/>
      <c r="J8" s="15"/>
      <c r="K8" s="15"/>
      <c r="L8" s="15"/>
      <c r="M8" s="15"/>
      <c r="N8" s="15"/>
      <c r="O8" s="15"/>
      <c r="P8" s="15"/>
      <c r="Q8" s="15"/>
      <c r="R8" s="15"/>
      <c r="S8" s="15"/>
      <c r="T8" s="15"/>
      <c r="U8" s="15"/>
      <c r="V8" s="15"/>
      <c r="W8" s="15"/>
      <c r="X8" s="15"/>
      <c r="Y8" s="15"/>
      <c r="AW8" s="115"/>
      <c r="AX8" s="115"/>
      <c r="AY8" s="115"/>
    </row>
    <row r="9" spans="2:51" x14ac:dyDescent="0.35">
      <c r="B9" s="127" t="s">
        <v>76</v>
      </c>
      <c r="C9" s="301">
        <f>SUM(C5:C8)</f>
        <v>1</v>
      </c>
      <c r="D9" s="302"/>
      <c r="E9" s="15"/>
      <c r="F9" s="15"/>
      <c r="G9" s="15"/>
      <c r="H9" s="15"/>
      <c r="I9" s="15"/>
      <c r="J9" s="15"/>
      <c r="K9" s="15"/>
      <c r="L9" s="15"/>
      <c r="M9" s="15"/>
      <c r="N9" s="15"/>
      <c r="O9" s="15"/>
      <c r="P9" s="15"/>
      <c r="Q9" s="15"/>
      <c r="R9" s="15"/>
      <c r="S9" s="15"/>
      <c r="T9" s="15"/>
      <c r="U9" s="15"/>
      <c r="V9" s="15"/>
      <c r="W9" s="15"/>
      <c r="X9" s="15"/>
      <c r="Y9" s="15"/>
      <c r="AW9" s="115"/>
      <c r="AX9" s="115"/>
      <c r="AY9" s="115"/>
    </row>
    <row r="10" spans="2:51" x14ac:dyDescent="0.35">
      <c r="B10" s="128" t="s">
        <v>210</v>
      </c>
      <c r="C10" s="300" t="str">
        <f>IF(C9=100%,"O.K.","Summe muss 100% sein")</f>
        <v>O.K.</v>
      </c>
      <c r="D10" s="300"/>
      <c r="E10" s="15"/>
      <c r="F10" s="15"/>
      <c r="G10" s="15"/>
      <c r="H10" s="15"/>
      <c r="I10" s="15"/>
      <c r="J10" s="15"/>
      <c r="K10" s="15"/>
      <c r="L10" s="15"/>
      <c r="M10" s="15"/>
      <c r="N10" s="15"/>
      <c r="O10" s="15"/>
      <c r="P10" s="15"/>
      <c r="Q10" s="15"/>
      <c r="R10" s="15"/>
      <c r="S10" s="15"/>
      <c r="T10" s="15"/>
      <c r="U10" s="15"/>
      <c r="V10" s="15"/>
      <c r="W10" s="15"/>
      <c r="X10" s="15"/>
      <c r="Y10" s="15"/>
      <c r="AW10" s="115"/>
      <c r="AX10" s="115"/>
      <c r="AY10" s="115"/>
    </row>
    <row r="11" spans="2:51" s="15" customFormat="1" x14ac:dyDescent="0.35"/>
    <row r="12" spans="2:51" s="15" customFormat="1" x14ac:dyDescent="0.35">
      <c r="E12" s="129">
        <f>FZ_2020*CMI_P2020*BFW_2020</f>
        <v>127975795.2</v>
      </c>
    </row>
    <row r="13" spans="2:51" x14ac:dyDescent="0.35">
      <c r="B13" s="163" t="s">
        <v>5</v>
      </c>
      <c r="C13" s="164" t="s">
        <v>6</v>
      </c>
      <c r="D13" s="164" t="s">
        <v>43</v>
      </c>
      <c r="E13" s="164" t="s">
        <v>78</v>
      </c>
      <c r="F13" s="164" t="s">
        <v>7</v>
      </c>
      <c r="G13" s="164" t="s">
        <v>26</v>
      </c>
      <c r="H13" s="164" t="s">
        <v>73</v>
      </c>
      <c r="I13" s="164" t="s">
        <v>149</v>
      </c>
      <c r="J13" s="164" t="s">
        <v>154</v>
      </c>
      <c r="K13" s="164" t="s">
        <v>150</v>
      </c>
      <c r="L13" s="164" t="s">
        <v>27</v>
      </c>
      <c r="M13" s="164" t="s">
        <v>30</v>
      </c>
      <c r="N13" s="164" t="s">
        <v>42</v>
      </c>
      <c r="O13" s="164" t="s">
        <v>41</v>
      </c>
      <c r="P13" s="164" t="s">
        <v>79</v>
      </c>
      <c r="Q13" s="164" t="s">
        <v>107</v>
      </c>
      <c r="R13" s="164" t="s">
        <v>170</v>
      </c>
      <c r="S13" s="164" t="s">
        <v>108</v>
      </c>
      <c r="T13" s="164" t="s">
        <v>184</v>
      </c>
      <c r="U13" s="164" t="s">
        <v>28</v>
      </c>
      <c r="V13" s="165" t="s">
        <v>109</v>
      </c>
      <c r="W13" s="15"/>
      <c r="X13" s="15"/>
      <c r="Y13" s="15"/>
      <c r="AW13" s="115"/>
      <c r="AX13" s="115"/>
      <c r="AY13" s="115"/>
    </row>
    <row r="14" spans="2:51" outlineLevel="1" x14ac:dyDescent="0.35">
      <c r="B14" s="155" t="s">
        <v>39</v>
      </c>
      <c r="C14" s="166" t="str">
        <f>ICD_OPS!Q5</f>
        <v>E69B</v>
      </c>
      <c r="D14" s="166">
        <f>ICD_OPS!R5</f>
        <v>0.49399999999999999</v>
      </c>
      <c r="E14" s="166">
        <f>ICD_OPS!S5</f>
        <v>0.79720000000000002</v>
      </c>
      <c r="F14" s="167">
        <v>5.5</v>
      </c>
      <c r="G14" s="190">
        <v>10</v>
      </c>
      <c r="H14" s="190">
        <v>0</v>
      </c>
      <c r="I14" s="168">
        <f>D14*BFW_2020</f>
        <v>1814.1656</v>
      </c>
      <c r="J14" s="169">
        <f>Tabelle2[[#This Row],[PMI/d]]*Tabelle2[[#This Row],[VwD]]</f>
        <v>7.9720000000000004</v>
      </c>
      <c r="K14" s="168">
        <f>G14*E14*PEW_NEU</f>
        <v>1474.8200000000002</v>
      </c>
      <c r="L14" s="167"/>
      <c r="M14" s="170">
        <f>SUM(I14:L14)</f>
        <v>3296.9576000000002</v>
      </c>
      <c r="N14" s="193">
        <v>0.2</v>
      </c>
      <c r="O14" s="167">
        <f>ROUND(F_COVID*N14*C5,0)</f>
        <v>15</v>
      </c>
      <c r="P14" s="167">
        <f>Tabelle2[[#This Row],[Fälle]]*Tabelle2[[#This Row],[VwD]]</f>
        <v>150</v>
      </c>
      <c r="Q14" s="167">
        <f>Tabelle2[[#This Row],[Fälle]]*Tabelle2[[#This Row],[CMI]]</f>
        <v>7.41</v>
      </c>
      <c r="R14" s="169">
        <f>Tabelle2[[#This Row],[VwD]]*Tabelle2[[#This Row],[PMI/d]]*Tabelle2[[#This Row],[Fälle]]</f>
        <v>119.58000000000001</v>
      </c>
      <c r="S14" s="170">
        <f>Tabelle2[[#This Row],[Erlös DRG/Fall]]*Tabelle2[[#This Row],[Fälle]]</f>
        <v>27212.484</v>
      </c>
      <c r="T14" s="170">
        <f>Tabelle2[[#This Row],[Erlös Pflege/Fall]]*Tabelle2[[#This Row],[Fälle]]</f>
        <v>22122.300000000003</v>
      </c>
      <c r="U14" s="167"/>
      <c r="V14" s="171">
        <f>Tabelle2[[#This Row],[Erlös ZE]]*Tabelle2[[#This Row],[Fälle]]</f>
        <v>0</v>
      </c>
      <c r="W14" s="15"/>
      <c r="X14" s="15"/>
      <c r="Y14" s="15"/>
      <c r="AW14" s="115"/>
      <c r="AX14" s="115"/>
      <c r="AY14" s="115"/>
    </row>
    <row r="15" spans="2:51" outlineLevel="1" x14ac:dyDescent="0.35">
      <c r="B15" s="155" t="s">
        <v>40</v>
      </c>
      <c r="C15" s="166" t="str">
        <f>ICD_OPS!Q6</f>
        <v>E79B</v>
      </c>
      <c r="D15" s="166">
        <f>ICD_OPS!R6</f>
        <v>0.74199999999999999</v>
      </c>
      <c r="E15" s="166">
        <f>ICD_OPS!S6</f>
        <v>1.2119</v>
      </c>
      <c r="F15" s="167">
        <v>9</v>
      </c>
      <c r="G15" s="190">
        <v>14</v>
      </c>
      <c r="H15" s="190">
        <v>0</v>
      </c>
      <c r="I15" s="168">
        <f>D15*BFW_2020</f>
        <v>2724.9207999999999</v>
      </c>
      <c r="J15" s="169">
        <f>Tabelle2[[#This Row],[PMI/d]]*Tabelle2[[#This Row],[VwD]]</f>
        <v>16.9666</v>
      </c>
      <c r="K15" s="168">
        <f>G15*E15*PEW_NEU</f>
        <v>3138.8209999999999</v>
      </c>
      <c r="L15" s="167"/>
      <c r="M15" s="170">
        <f>SUM(I15:L15)</f>
        <v>5880.7083999999995</v>
      </c>
      <c r="N15" s="193">
        <v>0.8</v>
      </c>
      <c r="O15" s="167">
        <f>ROUND(F_COVID*N15*C5,0)</f>
        <v>60</v>
      </c>
      <c r="P15" s="167">
        <f>Tabelle2[[#This Row],[Fälle]]*Tabelle2[[#This Row],[VwD]]</f>
        <v>840</v>
      </c>
      <c r="Q15" s="167">
        <f>Tabelle2[[#This Row],[Fälle]]*Tabelle2[[#This Row],[CMI]]</f>
        <v>44.519999999999996</v>
      </c>
      <c r="R15" s="169">
        <f>Tabelle2[[#This Row],[VwD]]*Tabelle2[[#This Row],[PMI/d]]*Tabelle2[[#This Row],[Fälle]]</f>
        <v>1017.996</v>
      </c>
      <c r="S15" s="170">
        <f>Tabelle2[[#This Row],[Erlös DRG/Fall]]*Tabelle2[[#This Row],[Fälle]]</f>
        <v>163495.24799999999</v>
      </c>
      <c r="T15" s="170">
        <f>Tabelle2[[#This Row],[Erlös Pflege/Fall]]*Tabelle2[[#This Row],[Fälle]]</f>
        <v>188329.26</v>
      </c>
      <c r="U15" s="167" t="s">
        <v>29</v>
      </c>
      <c r="V15" s="171">
        <f>Tabelle2[[#This Row],[Erlös ZE]]*Tabelle2[[#This Row],[Fälle]]</f>
        <v>0</v>
      </c>
      <c r="W15" s="15"/>
      <c r="X15" s="15"/>
      <c r="Y15" s="15"/>
      <c r="AW15" s="115"/>
      <c r="AX15" s="115"/>
      <c r="AY15" s="115"/>
    </row>
    <row r="16" spans="2:51" outlineLevel="1" x14ac:dyDescent="0.35">
      <c r="B16" s="172" t="s">
        <v>2</v>
      </c>
      <c r="C16" s="166" t="str">
        <f>ICD_OPS!Q7</f>
        <v>E36Z</v>
      </c>
      <c r="D16" s="166">
        <f>ICD_OPS!R7</f>
        <v>5.3490000000000002</v>
      </c>
      <c r="E16" s="166">
        <f>ICD_OPS!S7</f>
        <v>2.3105000000000002</v>
      </c>
      <c r="F16" s="167">
        <v>26.4</v>
      </c>
      <c r="G16" s="190">
        <v>21</v>
      </c>
      <c r="H16" s="190">
        <v>10</v>
      </c>
      <c r="I16" s="168">
        <f>D16*BFW_2020</f>
        <v>19643.667600000001</v>
      </c>
      <c r="J16" s="169">
        <f>Tabelle2[[#This Row],[PMI/d]]*Tabelle2[[#This Row],[VwD]]</f>
        <v>48.520500000000006</v>
      </c>
      <c r="K16" s="168">
        <f>G16*E16*PEW_NEU</f>
        <v>8976.2925000000014</v>
      </c>
      <c r="L16" s="167"/>
      <c r="M16" s="170">
        <f>SUM(I16:L16)</f>
        <v>28668.480600000003</v>
      </c>
      <c r="N16" s="173">
        <v>1</v>
      </c>
      <c r="O16" s="167">
        <f>ROUND(F_COVID*N16*C6,0)</f>
        <v>10</v>
      </c>
      <c r="P16" s="167">
        <f>Tabelle2[[#This Row],[Fälle]]*Tabelle2[[#This Row],[VwD]]</f>
        <v>210</v>
      </c>
      <c r="Q16" s="167">
        <f>Tabelle2[[#This Row],[Fälle]]*Tabelle2[[#This Row],[CMI]]</f>
        <v>53.49</v>
      </c>
      <c r="R16" s="169">
        <f>Tabelle2[[#This Row],[VwD]]*Tabelle2[[#This Row],[PMI/d]]*Tabelle2[[#This Row],[Fälle]]</f>
        <v>485.20500000000004</v>
      </c>
      <c r="S16" s="170">
        <f>Tabelle2[[#This Row],[Erlös DRG/Fall]]*Tabelle2[[#This Row],[Fälle]]</f>
        <v>196436.67600000001</v>
      </c>
      <c r="T16" s="170">
        <f>Tabelle2[[#This Row],[Erlös Pflege/Fall]]*Tabelle2[[#This Row],[Fälle]]</f>
        <v>89762.925000000017</v>
      </c>
      <c r="U16" s="167" t="s">
        <v>29</v>
      </c>
      <c r="V16" s="171">
        <f>Tabelle2[[#This Row],[Erlös ZE]]*Tabelle2[[#This Row],[Fälle]]</f>
        <v>0</v>
      </c>
      <c r="W16" s="15"/>
      <c r="X16" s="15"/>
      <c r="Y16" s="15"/>
      <c r="AW16" s="115"/>
      <c r="AX16" s="115"/>
      <c r="AY16" s="115"/>
    </row>
    <row r="17" spans="1:51" outlineLevel="1" x14ac:dyDescent="0.35">
      <c r="B17" s="172" t="s">
        <v>136</v>
      </c>
      <c r="C17" s="166" t="str">
        <f>ICD_OPS!Q8</f>
        <v>A13E</v>
      </c>
      <c r="D17" s="166">
        <f>ICD_OPS!R8</f>
        <v>4.8230000000000004</v>
      </c>
      <c r="E17" s="166">
        <f>ICD_OPS!S8</f>
        <v>2.8746</v>
      </c>
      <c r="F17" s="167"/>
      <c r="G17" s="190">
        <v>25</v>
      </c>
      <c r="H17" s="190">
        <v>12</v>
      </c>
      <c r="I17" s="168">
        <f>D17*BFW_2020</f>
        <v>17711.985200000003</v>
      </c>
      <c r="J17" s="169">
        <f>Tabelle2[[#This Row],[PMI/d]]*Tabelle2[[#This Row],[VwD]]</f>
        <v>71.864999999999995</v>
      </c>
      <c r="K17" s="168">
        <f>G17*E17*PEW_NEU</f>
        <v>13295.025</v>
      </c>
      <c r="L17" s="167"/>
      <c r="M17" s="170">
        <f>SUM(I17:L17)</f>
        <v>31078.875200000002</v>
      </c>
      <c r="N17" s="173">
        <v>1</v>
      </c>
      <c r="O17" s="167">
        <f>ROUND(F_COVID*N17*C7,0)</f>
        <v>15</v>
      </c>
      <c r="P17" s="167">
        <f>Tabelle2[[#This Row],[Fälle]]*Tabelle2[[#This Row],[VwD]]</f>
        <v>375</v>
      </c>
      <c r="Q17" s="167">
        <f>Tabelle2[[#This Row],[Fälle]]*Tabelle2[[#This Row],[CMI]]</f>
        <v>72.344999999999999</v>
      </c>
      <c r="R17" s="169">
        <f>Tabelle2[[#This Row],[VwD]]*Tabelle2[[#This Row],[PMI/d]]*Tabelle2[[#This Row],[Fälle]]</f>
        <v>1077.9749999999999</v>
      </c>
      <c r="S17" s="170">
        <f>Tabelle2[[#This Row],[Erlös DRG/Fall]]*Tabelle2[[#This Row],[Fälle]]</f>
        <v>265679.77800000005</v>
      </c>
      <c r="T17" s="170">
        <f>Tabelle2[[#This Row],[Erlös Pflege/Fall]]*Tabelle2[[#This Row],[Fälle]]</f>
        <v>199425.375</v>
      </c>
      <c r="U17" s="167" t="s">
        <v>29</v>
      </c>
      <c r="V17" s="171">
        <f>Tabelle2[[#This Row],[Erlös ZE]]*Tabelle2[[#This Row],[Fälle]]</f>
        <v>0</v>
      </c>
      <c r="W17" s="15"/>
      <c r="X17" s="15"/>
      <c r="Y17" s="15"/>
      <c r="AW17" s="115"/>
      <c r="AX17" s="115"/>
      <c r="AY17" s="115"/>
    </row>
    <row r="18" spans="1:51" outlineLevel="1" x14ac:dyDescent="0.35">
      <c r="B18" s="174" t="s">
        <v>148</v>
      </c>
      <c r="C18" s="175" t="str">
        <f>ICD_OPS!Q9</f>
        <v>A11E</v>
      </c>
      <c r="D18" s="175">
        <f>ICD_OPS!R9</f>
        <v>6.8550000000000004</v>
      </c>
      <c r="E18" s="175">
        <f>ICD_OPS!S9</f>
        <v>3.3746999999999998</v>
      </c>
      <c r="F18" s="176"/>
      <c r="G18" s="191">
        <v>28</v>
      </c>
      <c r="H18" s="191">
        <v>18</v>
      </c>
      <c r="I18" s="177">
        <f>D18*BFW_2020</f>
        <v>25174.302000000003</v>
      </c>
      <c r="J18" s="178">
        <f>Tabelle2[[#This Row],[PMI/d]]*Tabelle2[[#This Row],[VwD]]</f>
        <v>94.491599999999991</v>
      </c>
      <c r="K18" s="177">
        <f>G18*E18*PEW_NEU</f>
        <v>17480.946</v>
      </c>
      <c r="L18" s="192">
        <v>14739</v>
      </c>
      <c r="M18" s="179">
        <f>SUM(I18:L18)</f>
        <v>57488.739600000001</v>
      </c>
      <c r="N18" s="180">
        <v>1</v>
      </c>
      <c r="O18" s="176">
        <f>ROUND(F_COVID*N18*C8,0)</f>
        <v>0</v>
      </c>
      <c r="P18" s="176">
        <f>Tabelle2[[#This Row],[Fälle]]*Tabelle2[[#This Row],[VwD]]</f>
        <v>0</v>
      </c>
      <c r="Q18" s="176">
        <f>Tabelle2[[#This Row],[Fälle]]*Tabelle2[[#This Row],[CMI]]</f>
        <v>0</v>
      </c>
      <c r="R18" s="178">
        <f>Tabelle2[[#This Row],[VwD]]*Tabelle2[[#This Row],[PMI/d]]*Tabelle2[[#This Row],[Fälle]]</f>
        <v>0</v>
      </c>
      <c r="S18" s="179">
        <f>Tabelle2[[#This Row],[Erlös DRG/Fall]]*Tabelle2[[#This Row],[Fälle]]</f>
        <v>0</v>
      </c>
      <c r="T18" s="179">
        <f>Tabelle2[[#This Row],[Erlös Pflege/Fall]]*Tabelle2[[#This Row],[Fälle]]</f>
        <v>0</v>
      </c>
      <c r="U18" s="191" t="s">
        <v>35</v>
      </c>
      <c r="V18" s="181">
        <f>Tabelle2[[#This Row],[Erlös ZE]]*Tabelle2[[#This Row],[Fälle]]</f>
        <v>0</v>
      </c>
      <c r="W18" s="15"/>
      <c r="X18" s="15"/>
      <c r="Y18" s="15"/>
      <c r="AW18" s="115"/>
      <c r="AX18" s="115"/>
      <c r="AY18" s="115"/>
    </row>
    <row r="19" spans="1:51" s="15" customFormat="1" x14ac:dyDescent="0.35">
      <c r="B19" s="32"/>
      <c r="C19" s="32"/>
      <c r="D19" s="32"/>
      <c r="E19" s="32"/>
      <c r="F19" s="32"/>
      <c r="G19" s="32"/>
      <c r="H19" s="32"/>
      <c r="I19" s="32"/>
      <c r="J19" s="32"/>
      <c r="K19" s="32"/>
      <c r="L19" s="32"/>
      <c r="M19" s="32"/>
      <c r="N19" s="32"/>
      <c r="O19" s="32"/>
      <c r="P19" s="32"/>
      <c r="Q19" s="32"/>
      <c r="R19" s="32"/>
      <c r="S19" s="32"/>
      <c r="T19" s="32"/>
      <c r="U19" s="32"/>
      <c r="V19" s="32"/>
    </row>
    <row r="20" spans="1:51" x14ac:dyDescent="0.35">
      <c r="B20" s="131" t="s">
        <v>110</v>
      </c>
      <c r="C20" s="81"/>
      <c r="D20" s="132">
        <f t="shared" ref="D20:E20" si="0">IF(F_COVID&gt;0,Q20/O20,0)</f>
        <v>1.77765</v>
      </c>
      <c r="E20" s="133">
        <f t="shared" si="0"/>
        <v>1.7147657142857142</v>
      </c>
      <c r="F20" s="81"/>
      <c r="G20" s="81"/>
      <c r="H20" s="81"/>
      <c r="I20" s="81"/>
      <c r="J20" s="81"/>
      <c r="K20" s="81"/>
      <c r="L20" s="81"/>
      <c r="M20" s="81"/>
      <c r="N20" s="81"/>
      <c r="O20" s="134">
        <f t="shared" ref="O20:S20" si="1">SUM(O14:O18)</f>
        <v>100</v>
      </c>
      <c r="P20" s="134">
        <f>SUM(P14:P18)</f>
        <v>1575</v>
      </c>
      <c r="Q20" s="134">
        <f t="shared" si="1"/>
        <v>177.76499999999999</v>
      </c>
      <c r="R20" s="133">
        <f t="shared" si="1"/>
        <v>2700.7559999999999</v>
      </c>
      <c r="S20" s="135">
        <f t="shared" si="1"/>
        <v>652824.18599999999</v>
      </c>
      <c r="T20" s="135">
        <f>SUM(T21:T25)</f>
        <v>499639.86</v>
      </c>
      <c r="U20" s="130"/>
      <c r="V20" s="135">
        <f>SUM(V14:V18)</f>
        <v>0</v>
      </c>
    </row>
    <row r="21" spans="1:51" outlineLevel="1" x14ac:dyDescent="0.35">
      <c r="B21" s="116" t="s">
        <v>168</v>
      </c>
      <c r="C21" s="76"/>
      <c r="D21" s="136">
        <f>IF($O21&gt;0,Q21/O21,0)</f>
        <v>0</v>
      </c>
      <c r="E21" s="137">
        <f>IF($P21&gt;0,R21/P21,0)</f>
        <v>0</v>
      </c>
      <c r="F21" s="76"/>
      <c r="G21" s="76"/>
      <c r="H21" s="76"/>
      <c r="I21" s="76"/>
      <c r="J21" s="76"/>
      <c r="K21" s="76"/>
      <c r="L21" s="76"/>
      <c r="M21" s="76"/>
      <c r="N21" s="76"/>
      <c r="O21" s="116">
        <f>Erlöseffekte!J6</f>
        <v>0</v>
      </c>
      <c r="P21" s="138">
        <f>T_COVID*($O21/F_COVID)</f>
        <v>0</v>
      </c>
      <c r="Q21" s="139">
        <f t="shared" ref="Q21:S25" si="2">Q$20*($O21/F_COVID)</f>
        <v>0</v>
      </c>
      <c r="R21" s="140">
        <f t="shared" si="2"/>
        <v>0</v>
      </c>
      <c r="S21" s="141">
        <f t="shared" si="2"/>
        <v>0</v>
      </c>
      <c r="T21" s="141">
        <f>R21*PEW_P2020</f>
        <v>0</v>
      </c>
      <c r="U21" s="142"/>
      <c r="V21" s="141">
        <f>V$20*($O21/F_COVID)</f>
        <v>0</v>
      </c>
      <c r="W21" s="15"/>
      <c r="X21" s="15"/>
      <c r="Y21" s="15"/>
    </row>
    <row r="22" spans="1:51" outlineLevel="1" x14ac:dyDescent="0.35">
      <c r="B22" s="116" t="s">
        <v>169</v>
      </c>
      <c r="C22" s="76"/>
      <c r="D22" s="136">
        <f t="shared" ref="D22:D25" si="3">IF($O22&gt;0,Q22/O22,0)</f>
        <v>1.77765</v>
      </c>
      <c r="E22" s="137">
        <f t="shared" ref="E22:E25" si="4">IF($P22&gt;0,R22/P22,0)</f>
        <v>1.7147657142857144</v>
      </c>
      <c r="F22" s="76"/>
      <c r="G22" s="76"/>
      <c r="H22" s="76"/>
      <c r="I22" s="76"/>
      <c r="J22" s="76"/>
      <c r="K22" s="76"/>
      <c r="L22" s="76"/>
      <c r="M22" s="76"/>
      <c r="N22" s="76"/>
      <c r="O22" s="116">
        <f>Erlöseffekte!J7</f>
        <v>20</v>
      </c>
      <c r="P22" s="138">
        <f>T_COVID*($O22/F_COVID)</f>
        <v>315</v>
      </c>
      <c r="Q22" s="139">
        <f t="shared" si="2"/>
        <v>35.552999999999997</v>
      </c>
      <c r="R22" s="140">
        <f t="shared" si="2"/>
        <v>540.15120000000002</v>
      </c>
      <c r="S22" s="141">
        <f t="shared" si="2"/>
        <v>130564.83720000001</v>
      </c>
      <c r="T22" s="141">
        <f>R22*PEW_NEU</f>
        <v>99927.972000000009</v>
      </c>
      <c r="U22" s="142"/>
      <c r="V22" s="141">
        <f>V$20*($O22/F_COVID)</f>
        <v>0</v>
      </c>
      <c r="W22" s="15"/>
      <c r="X22" s="15"/>
      <c r="Y22" s="15"/>
    </row>
    <row r="23" spans="1:51" outlineLevel="1" x14ac:dyDescent="0.35">
      <c r="B23" s="116" t="s">
        <v>100</v>
      </c>
      <c r="C23" s="76"/>
      <c r="D23" s="136">
        <f>IF($O23&gt;0,Q23/O23,0)</f>
        <v>1.77765</v>
      </c>
      <c r="E23" s="137">
        <f t="shared" si="4"/>
        <v>1.7147657142857142</v>
      </c>
      <c r="F23" s="76"/>
      <c r="G23" s="76"/>
      <c r="H23" s="76"/>
      <c r="I23" s="76"/>
      <c r="J23" s="76"/>
      <c r="K23" s="76"/>
      <c r="L23" s="76"/>
      <c r="M23" s="76"/>
      <c r="N23" s="76"/>
      <c r="O23" s="116">
        <f>Erlöseffekte!J8</f>
        <v>50</v>
      </c>
      <c r="P23" s="138">
        <f>T_COVID*($O23/F_COVID)</f>
        <v>787.5</v>
      </c>
      <c r="Q23" s="139">
        <f t="shared" si="2"/>
        <v>88.882499999999993</v>
      </c>
      <c r="R23" s="140">
        <f t="shared" si="2"/>
        <v>1350.3779999999999</v>
      </c>
      <c r="S23" s="141">
        <f t="shared" si="2"/>
        <v>326412.09299999999</v>
      </c>
      <c r="T23" s="141">
        <f>R23*PEW_NEU</f>
        <v>249819.93</v>
      </c>
      <c r="U23" s="142"/>
      <c r="V23" s="141">
        <f>V$20*($O23/F_COVID)</f>
        <v>0</v>
      </c>
      <c r="W23" s="15"/>
      <c r="X23" s="15"/>
      <c r="Y23" s="15"/>
    </row>
    <row r="24" spans="1:51" outlineLevel="1" x14ac:dyDescent="0.35">
      <c r="B24" s="116" t="s">
        <v>101</v>
      </c>
      <c r="C24" s="76"/>
      <c r="D24" s="136">
        <f t="shared" si="3"/>
        <v>1.77765</v>
      </c>
      <c r="E24" s="137">
        <f t="shared" si="4"/>
        <v>1.7147657142857144</v>
      </c>
      <c r="F24" s="76"/>
      <c r="G24" s="76"/>
      <c r="H24" s="76"/>
      <c r="I24" s="76"/>
      <c r="J24" s="76"/>
      <c r="K24" s="76"/>
      <c r="L24" s="76"/>
      <c r="M24" s="76"/>
      <c r="N24" s="76"/>
      <c r="O24" s="116">
        <f>Erlöseffekte!J9</f>
        <v>20</v>
      </c>
      <c r="P24" s="138">
        <f>T_COVID*($O24/F_COVID)</f>
        <v>315</v>
      </c>
      <c r="Q24" s="139">
        <f t="shared" si="2"/>
        <v>35.552999999999997</v>
      </c>
      <c r="R24" s="140">
        <f t="shared" si="2"/>
        <v>540.15120000000002</v>
      </c>
      <c r="S24" s="141">
        <f t="shared" si="2"/>
        <v>130564.83720000001</v>
      </c>
      <c r="T24" s="141">
        <f>R24*PEW_NEU</f>
        <v>99927.972000000009</v>
      </c>
      <c r="U24" s="142"/>
      <c r="V24" s="141">
        <f>V$20*($O24/F_COVID)</f>
        <v>0</v>
      </c>
      <c r="W24" s="15"/>
      <c r="X24" s="15"/>
      <c r="Y24" s="15"/>
    </row>
    <row r="25" spans="1:51" outlineLevel="1" x14ac:dyDescent="0.35">
      <c r="B25" s="116" t="s">
        <v>102</v>
      </c>
      <c r="C25" s="76"/>
      <c r="D25" s="136">
        <f t="shared" si="3"/>
        <v>1.77765</v>
      </c>
      <c r="E25" s="137">
        <f t="shared" si="4"/>
        <v>1.7147657142857144</v>
      </c>
      <c r="F25" s="76"/>
      <c r="G25" s="76"/>
      <c r="H25" s="76"/>
      <c r="I25" s="76"/>
      <c r="J25" s="76"/>
      <c r="K25" s="76"/>
      <c r="L25" s="76"/>
      <c r="M25" s="76"/>
      <c r="N25" s="76"/>
      <c r="O25" s="116">
        <f>Erlöseffekte!J10</f>
        <v>10</v>
      </c>
      <c r="P25" s="138">
        <f>T_COVID*($O25/F_COVID)</f>
        <v>157.5</v>
      </c>
      <c r="Q25" s="139">
        <f t="shared" si="2"/>
        <v>17.776499999999999</v>
      </c>
      <c r="R25" s="140">
        <f t="shared" si="2"/>
        <v>270.07560000000001</v>
      </c>
      <c r="S25" s="141">
        <f t="shared" si="2"/>
        <v>65282.418600000005</v>
      </c>
      <c r="T25" s="141">
        <f>R25*PEW_NEU</f>
        <v>49963.986000000004</v>
      </c>
      <c r="U25" s="142"/>
      <c r="V25" s="141">
        <f>V$20*($O25/F_COVID)</f>
        <v>0</v>
      </c>
      <c r="W25" s="15"/>
      <c r="X25" s="15"/>
      <c r="Y25" s="15"/>
    </row>
    <row r="26" spans="1:51" x14ac:dyDescent="0.35">
      <c r="B26" s="15"/>
      <c r="C26" s="15"/>
      <c r="D26" s="15"/>
      <c r="E26" s="15"/>
      <c r="F26" s="15"/>
      <c r="G26" s="15"/>
      <c r="H26" s="15"/>
      <c r="I26" s="15"/>
      <c r="J26" s="15"/>
      <c r="K26" s="15"/>
      <c r="L26" s="15"/>
      <c r="M26" s="15"/>
      <c r="N26" s="15"/>
      <c r="O26" s="15"/>
      <c r="P26" s="143"/>
      <c r="Q26" s="15"/>
      <c r="R26" s="15"/>
      <c r="S26" s="15"/>
      <c r="T26" s="15"/>
      <c r="U26" s="15"/>
      <c r="W26" s="15"/>
      <c r="X26" s="15"/>
      <c r="Y26" s="15"/>
    </row>
    <row r="27" spans="1:51" s="15" customFormat="1" x14ac:dyDescent="0.35">
      <c r="B27" s="17" t="s">
        <v>153</v>
      </c>
    </row>
    <row r="28" spans="1:51" s="15" customFormat="1" x14ac:dyDescent="0.35">
      <c r="B28" s="144"/>
    </row>
    <row r="29" spans="1:51" s="15" customFormat="1" ht="15" customHeight="1" x14ac:dyDescent="0.35">
      <c r="B29" s="303" t="s">
        <v>209</v>
      </c>
      <c r="C29" s="303"/>
      <c r="D29" s="303"/>
      <c r="E29" s="303"/>
      <c r="F29" s="303"/>
      <c r="G29" s="303"/>
      <c r="H29" s="303"/>
    </row>
    <row r="30" spans="1:51" s="15" customFormat="1" x14ac:dyDescent="0.35">
      <c r="A30" s="145"/>
      <c r="B30" s="303"/>
      <c r="C30" s="303"/>
      <c r="D30" s="303"/>
      <c r="E30" s="303"/>
      <c r="F30" s="303"/>
      <c r="G30" s="303"/>
      <c r="H30" s="303"/>
    </row>
    <row r="31" spans="1:51" s="15" customFormat="1" x14ac:dyDescent="0.35">
      <c r="A31" s="145"/>
      <c r="B31" s="303"/>
      <c r="C31" s="303"/>
      <c r="D31" s="303"/>
      <c r="E31" s="303"/>
      <c r="F31" s="303"/>
      <c r="G31" s="303"/>
      <c r="H31" s="303"/>
    </row>
    <row r="32" spans="1:51" s="15" customFormat="1" x14ac:dyDescent="0.35">
      <c r="A32" s="145"/>
      <c r="B32" s="303"/>
      <c r="C32" s="303"/>
      <c r="D32" s="303"/>
      <c r="E32" s="303"/>
      <c r="F32" s="303"/>
      <c r="G32" s="303"/>
      <c r="H32" s="303"/>
    </row>
    <row r="33" spans="1:25" s="15" customFormat="1" x14ac:dyDescent="0.35">
      <c r="A33" s="145"/>
      <c r="B33" s="303"/>
      <c r="C33" s="303"/>
      <c r="D33" s="303"/>
      <c r="E33" s="303"/>
      <c r="F33" s="303"/>
      <c r="G33" s="303"/>
      <c r="H33" s="303"/>
    </row>
    <row r="34" spans="1:25" s="15" customFormat="1" ht="110.25" customHeight="1" x14ac:dyDescent="0.35">
      <c r="A34" s="145"/>
      <c r="B34" s="303"/>
      <c r="C34" s="303"/>
      <c r="D34" s="303"/>
      <c r="E34" s="303"/>
      <c r="F34" s="303"/>
      <c r="G34" s="303"/>
      <c r="H34" s="303"/>
    </row>
    <row r="35" spans="1:25" x14ac:dyDescent="0.3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5" x14ac:dyDescent="0.35">
      <c r="B36" s="15"/>
      <c r="C36" s="15"/>
      <c r="D36" s="15"/>
      <c r="E36" s="15"/>
      <c r="F36" s="15"/>
      <c r="G36" s="15"/>
      <c r="H36" s="15"/>
      <c r="I36" s="15"/>
      <c r="J36" s="15"/>
      <c r="K36" s="15"/>
      <c r="L36" s="15"/>
      <c r="M36" s="15"/>
      <c r="N36" s="15"/>
      <c r="O36" s="15"/>
      <c r="P36" s="15"/>
      <c r="Q36" s="15"/>
      <c r="R36" s="15"/>
      <c r="S36" s="15"/>
      <c r="T36" s="15"/>
      <c r="U36" s="15"/>
      <c r="V36" s="15"/>
      <c r="W36" s="15"/>
      <c r="X36" s="15"/>
      <c r="Y36" s="15"/>
    </row>
    <row r="37" spans="1:25" x14ac:dyDescent="0.35">
      <c r="B37" s="15"/>
      <c r="C37" s="15"/>
      <c r="D37" s="15"/>
      <c r="E37" s="15"/>
      <c r="F37" s="15"/>
      <c r="G37" s="15"/>
      <c r="H37" s="15"/>
      <c r="I37" s="15"/>
      <c r="J37" s="15"/>
      <c r="K37" s="15"/>
      <c r="L37" s="15"/>
      <c r="M37" s="15"/>
      <c r="N37" s="15"/>
      <c r="O37" s="15"/>
      <c r="P37" s="15"/>
      <c r="Q37" s="15"/>
      <c r="R37" s="15"/>
      <c r="S37" s="15"/>
      <c r="T37" s="15"/>
      <c r="U37" s="15"/>
      <c r="V37" s="15"/>
      <c r="W37" s="15"/>
      <c r="X37" s="15"/>
      <c r="Y37" s="15"/>
    </row>
    <row r="38" spans="1:25" x14ac:dyDescent="0.35">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x14ac:dyDescent="0.35">
      <c r="B39" s="15"/>
      <c r="C39" s="15"/>
      <c r="D39" s="15"/>
      <c r="E39" s="15"/>
      <c r="F39" s="15"/>
      <c r="G39" s="15"/>
      <c r="H39" s="15"/>
      <c r="I39" s="15"/>
      <c r="J39" s="15"/>
      <c r="K39" s="15"/>
      <c r="L39" s="15"/>
      <c r="M39" s="15"/>
      <c r="N39" s="15"/>
      <c r="O39" s="15"/>
      <c r="P39" s="15"/>
      <c r="Q39" s="15"/>
      <c r="R39" s="15"/>
      <c r="S39" s="15"/>
      <c r="T39" s="15"/>
      <c r="U39" s="15"/>
      <c r="V39" s="15"/>
      <c r="W39" s="15"/>
      <c r="X39" s="15"/>
      <c r="Y39" s="15"/>
    </row>
    <row r="40" spans="1:25" x14ac:dyDescent="0.35">
      <c r="B40" s="15"/>
      <c r="C40" s="15"/>
      <c r="D40" s="15"/>
      <c r="E40" s="15"/>
      <c r="F40" s="15"/>
      <c r="G40" s="15"/>
      <c r="H40" s="15"/>
      <c r="I40" s="15"/>
      <c r="J40" s="15"/>
      <c r="K40" s="15"/>
      <c r="L40" s="15"/>
      <c r="M40" s="15"/>
      <c r="N40" s="15"/>
      <c r="O40" s="15"/>
      <c r="P40" s="15"/>
      <c r="Q40" s="15"/>
      <c r="R40" s="15"/>
      <c r="S40" s="15"/>
      <c r="T40" s="15"/>
      <c r="U40" s="15"/>
      <c r="V40" s="15"/>
      <c r="W40" s="15"/>
      <c r="X40" s="15"/>
      <c r="Y40" s="15"/>
    </row>
    <row r="41" spans="1:25" x14ac:dyDescent="0.35">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x14ac:dyDescent="0.35">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x14ac:dyDescent="0.3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1:25" x14ac:dyDescent="0.35">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x14ac:dyDescent="0.35">
      <c r="B45" s="15"/>
      <c r="C45" s="15"/>
      <c r="D45" s="15"/>
      <c r="E45" s="15"/>
      <c r="F45" s="15"/>
      <c r="G45" s="15"/>
      <c r="H45" s="15"/>
      <c r="I45" s="15"/>
      <c r="J45" s="15"/>
      <c r="K45" s="15"/>
      <c r="L45" s="15"/>
      <c r="M45" s="15"/>
      <c r="N45" s="15"/>
      <c r="O45" s="15"/>
      <c r="P45" s="15"/>
      <c r="Q45" s="15"/>
      <c r="R45" s="15"/>
      <c r="S45" s="15"/>
      <c r="T45" s="15"/>
      <c r="U45" s="15"/>
      <c r="V45" s="15"/>
      <c r="W45" s="15"/>
      <c r="X45" s="15"/>
      <c r="Y45" s="15"/>
    </row>
    <row r="46" spans="1:25" x14ac:dyDescent="0.3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x14ac:dyDescent="0.35">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25" x14ac:dyDescent="0.35">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2:25" x14ac:dyDescent="0.35">
      <c r="B49" s="15"/>
      <c r="C49" s="15"/>
      <c r="D49" s="15"/>
      <c r="E49" s="15"/>
      <c r="F49" s="15"/>
      <c r="G49" s="15"/>
      <c r="H49" s="15"/>
      <c r="I49" s="15"/>
      <c r="J49" s="15"/>
      <c r="K49" s="15"/>
      <c r="L49" s="15"/>
      <c r="M49" s="15"/>
      <c r="N49" s="15"/>
      <c r="O49" s="15"/>
      <c r="P49" s="15"/>
      <c r="Q49" s="15"/>
      <c r="R49" s="15"/>
      <c r="S49" s="15"/>
      <c r="T49" s="15"/>
      <c r="U49" s="15"/>
      <c r="V49" s="15"/>
      <c r="W49" s="15"/>
      <c r="X49" s="15"/>
      <c r="Y49" s="15"/>
    </row>
    <row r="50" spans="2:25" x14ac:dyDescent="0.35">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2:25" x14ac:dyDescent="0.35">
      <c r="B51" s="15"/>
      <c r="C51" s="15"/>
      <c r="D51" s="15"/>
      <c r="E51" s="15"/>
      <c r="F51" s="15"/>
      <c r="G51" s="15"/>
      <c r="H51" s="15"/>
      <c r="I51" s="15"/>
      <c r="J51" s="15"/>
      <c r="K51" s="15"/>
      <c r="L51" s="15"/>
      <c r="M51" s="15"/>
      <c r="N51" s="15"/>
      <c r="O51" s="15"/>
      <c r="P51" s="15"/>
      <c r="Q51" s="15"/>
      <c r="R51" s="15"/>
      <c r="S51" s="15"/>
      <c r="T51" s="15"/>
      <c r="U51" s="15"/>
      <c r="V51" s="15"/>
      <c r="W51" s="15"/>
      <c r="X51" s="15"/>
      <c r="Y51" s="15"/>
    </row>
    <row r="52" spans="2:25" x14ac:dyDescent="0.35">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2:25" x14ac:dyDescent="0.35">
      <c r="B53" s="15"/>
      <c r="C53" s="15"/>
      <c r="D53" s="15"/>
      <c r="E53" s="15"/>
      <c r="F53" s="15"/>
      <c r="G53" s="15"/>
      <c r="H53" s="15"/>
      <c r="I53" s="15"/>
      <c r="J53" s="15"/>
      <c r="K53" s="15"/>
      <c r="L53" s="15"/>
      <c r="M53" s="15"/>
      <c r="N53" s="15"/>
      <c r="O53" s="15"/>
      <c r="P53" s="15"/>
      <c r="Q53" s="15"/>
      <c r="R53" s="15"/>
      <c r="S53" s="15"/>
      <c r="T53" s="15"/>
      <c r="U53" s="15"/>
      <c r="V53" s="15"/>
      <c r="W53" s="15"/>
      <c r="X53" s="15"/>
      <c r="Y53" s="15"/>
    </row>
    <row r="54" spans="2:25" x14ac:dyDescent="0.35">
      <c r="B54" s="15"/>
      <c r="C54" s="15"/>
      <c r="D54" s="15"/>
      <c r="E54" s="15"/>
      <c r="F54" s="15"/>
      <c r="G54" s="15"/>
      <c r="H54" s="15"/>
      <c r="I54" s="15"/>
      <c r="J54" s="15"/>
      <c r="K54" s="15"/>
      <c r="L54" s="15"/>
      <c r="M54" s="15"/>
      <c r="N54" s="15"/>
      <c r="O54" s="15"/>
      <c r="P54" s="15"/>
      <c r="Q54" s="15"/>
      <c r="R54" s="15"/>
      <c r="S54" s="15"/>
      <c r="T54" s="15"/>
      <c r="U54" s="15"/>
      <c r="W54" s="15"/>
      <c r="X54" s="15"/>
      <c r="Y54" s="15"/>
    </row>
    <row r="55" spans="2:25" x14ac:dyDescent="0.35">
      <c r="B55" s="15"/>
      <c r="C55" s="15"/>
      <c r="D55" s="15"/>
      <c r="E55" s="15"/>
      <c r="F55" s="15"/>
      <c r="G55" s="15"/>
      <c r="H55" s="15"/>
      <c r="I55" s="15"/>
      <c r="J55" s="15"/>
      <c r="K55" s="15"/>
      <c r="L55" s="15"/>
      <c r="M55" s="15"/>
      <c r="N55" s="15"/>
      <c r="O55" s="15"/>
      <c r="P55" s="15"/>
      <c r="Q55" s="15"/>
      <c r="R55" s="15"/>
      <c r="S55" s="15"/>
      <c r="T55" s="15"/>
      <c r="U55" s="15"/>
      <c r="W55" s="15"/>
      <c r="X55" s="15"/>
      <c r="Y55" s="15"/>
    </row>
    <row r="56" spans="2:25" x14ac:dyDescent="0.35">
      <c r="B56" s="15"/>
      <c r="C56" s="15"/>
      <c r="D56" s="15"/>
      <c r="E56" s="15"/>
      <c r="F56" s="15"/>
      <c r="G56" s="15"/>
      <c r="H56" s="15"/>
      <c r="I56" s="15"/>
      <c r="J56" s="15"/>
      <c r="K56" s="15"/>
      <c r="L56" s="15"/>
      <c r="M56" s="15"/>
      <c r="N56" s="15"/>
      <c r="O56" s="15"/>
      <c r="P56" s="15"/>
      <c r="Q56" s="15"/>
      <c r="R56" s="15"/>
      <c r="S56" s="15"/>
      <c r="T56" s="15"/>
      <c r="U56" s="15"/>
      <c r="W56" s="15"/>
      <c r="X56" s="15"/>
      <c r="Y56" s="15"/>
    </row>
    <row r="57" spans="2:25" x14ac:dyDescent="0.35">
      <c r="B57" s="15"/>
      <c r="C57" s="15"/>
      <c r="D57" s="15"/>
      <c r="E57" s="15"/>
      <c r="F57" s="15"/>
      <c r="G57" s="15"/>
      <c r="H57" s="15"/>
      <c r="I57" s="15"/>
      <c r="J57" s="15"/>
      <c r="K57" s="15"/>
      <c r="L57" s="15"/>
      <c r="M57" s="15"/>
      <c r="N57" s="15"/>
      <c r="O57" s="15"/>
      <c r="P57" s="15"/>
      <c r="Q57" s="15"/>
      <c r="R57" s="15"/>
      <c r="S57" s="15"/>
      <c r="T57" s="15"/>
      <c r="U57" s="15"/>
      <c r="W57" s="15"/>
      <c r="X57" s="15"/>
      <c r="Y57" s="15"/>
    </row>
    <row r="58" spans="2:25" x14ac:dyDescent="0.35">
      <c r="B58" s="15"/>
      <c r="C58" s="15"/>
      <c r="D58" s="15"/>
      <c r="E58" s="15"/>
      <c r="F58" s="15"/>
      <c r="H58" s="15"/>
      <c r="I58" s="15"/>
      <c r="J58" s="15"/>
      <c r="K58" s="15"/>
      <c r="L58" s="15"/>
      <c r="N58" s="15"/>
      <c r="O58" s="15"/>
      <c r="P58" s="15"/>
      <c r="Q58" s="15"/>
      <c r="R58" s="15"/>
      <c r="S58" s="15"/>
      <c r="T58" s="15"/>
      <c r="U58" s="15"/>
      <c r="W58" s="15"/>
      <c r="X58" s="15"/>
      <c r="Y58" s="15"/>
    </row>
  </sheetData>
  <sheetProtection algorithmName="SHA-512" hashValue="4K5ZrzN/u11hL3gdgNxTPjtc8okh6EdluROF+Jf4S9EaPlO3Ww+KVKao8AjECkXANUikYD5V0ItPh0UPy3RsHQ==" saltValue="cB/ngFJecaYg0+JGrH7Wvg==" spinCount="100000" sheet="1" formatCells="0" formatColumns="0" formatRows="0" autoFilter="0"/>
  <mergeCells count="3">
    <mergeCell ref="C10:D10"/>
    <mergeCell ref="C9:D9"/>
    <mergeCell ref="B29:H34"/>
  </mergeCells>
  <conditionalFormatting sqref="C10">
    <cfRule type="cellIs" dxfId="49" priority="1" operator="equal">
      <formula>"Summe muss 100% sein"</formula>
    </cfRule>
    <cfRule type="cellIs" dxfId="48" priority="2" operator="equal">
      <formula>"O.K."</formula>
    </cfRule>
  </conditionalFormatting>
  <pageMargins left="0.7" right="0.7" top="0.78740157499999996" bottom="0.78740157499999996" header="0.3" footer="0.3"/>
  <pageSetup paperSize="9"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71EB-E883-4AF8-9D4E-E505A0F4EA49}">
  <sheetPr>
    <tabColor theme="6" tint="0.79998168889431442"/>
  </sheetPr>
  <dimension ref="B2:S9"/>
  <sheetViews>
    <sheetView workbookViewId="0">
      <selection activeCell="S7" sqref="S7"/>
    </sheetView>
  </sheetViews>
  <sheetFormatPr baseColWidth="10" defaultColWidth="11.36328125" defaultRowHeight="13" x14ac:dyDescent="0.3"/>
  <cols>
    <col min="1" max="1" width="3.36328125" style="4" customWidth="1"/>
    <col min="2" max="2" width="34.08984375" style="4" customWidth="1"/>
    <col min="3" max="3" width="11.81640625" style="4" customWidth="1"/>
    <col min="4" max="4" width="15.36328125" style="4" customWidth="1"/>
    <col min="5" max="5" width="11.36328125" style="4"/>
    <col min="6" max="9" width="11.36328125" style="4" customWidth="1"/>
    <col min="10" max="10" width="14.36328125" style="4" customWidth="1"/>
    <col min="11" max="12" width="11.36328125" style="4" customWidth="1"/>
    <col min="13" max="13" width="13.36328125" style="4" customWidth="1"/>
    <col min="14" max="15" width="11.36328125" style="4" customWidth="1"/>
    <col min="16" max="16" width="10.6328125" style="4" customWidth="1"/>
    <col min="17" max="17" width="13.6328125" style="4" customWidth="1"/>
    <col min="18" max="18" width="11.36328125" style="4"/>
    <col min="19" max="19" width="18.36328125" style="4" bestFit="1" customWidth="1"/>
    <col min="20" max="16384" width="11.36328125" style="4"/>
  </cols>
  <sheetData>
    <row r="2" spans="2:19" x14ac:dyDescent="0.3">
      <c r="B2" s="2" t="s">
        <v>128</v>
      </c>
      <c r="C2" s="5"/>
      <c r="D2" s="5"/>
      <c r="Q2" s="5"/>
      <c r="S2" s="3"/>
    </row>
    <row r="4" spans="2:19" s="6" customFormat="1" ht="24" x14ac:dyDescent="0.3">
      <c r="B4" s="12" t="s">
        <v>8</v>
      </c>
      <c r="C4" s="13" t="s">
        <v>26</v>
      </c>
      <c r="D4" s="13" t="s">
        <v>142</v>
      </c>
      <c r="E4" s="13" t="s">
        <v>17</v>
      </c>
      <c r="F4" s="13" t="s">
        <v>18</v>
      </c>
      <c r="G4" s="13" t="s">
        <v>19</v>
      </c>
      <c r="H4" s="13" t="s">
        <v>23</v>
      </c>
      <c r="I4" s="13" t="s">
        <v>24</v>
      </c>
      <c r="J4" s="13" t="s">
        <v>138</v>
      </c>
      <c r="K4" s="14" t="s">
        <v>9</v>
      </c>
      <c r="L4" s="14" t="s">
        <v>10</v>
      </c>
      <c r="M4" s="14" t="s">
        <v>11</v>
      </c>
      <c r="N4" s="14" t="s">
        <v>12</v>
      </c>
      <c r="O4" s="14" t="s">
        <v>13</v>
      </c>
      <c r="P4" s="14" t="s">
        <v>36</v>
      </c>
      <c r="Q4" s="14" t="s">
        <v>141</v>
      </c>
      <c r="R4" s="14" t="s">
        <v>137</v>
      </c>
      <c r="S4" s="14" t="s">
        <v>143</v>
      </c>
    </row>
    <row r="5" spans="2:19" x14ac:dyDescent="0.3">
      <c r="B5" s="8" t="s">
        <v>45</v>
      </c>
      <c r="C5" s="9">
        <v>10</v>
      </c>
      <c r="D5" s="9">
        <v>0</v>
      </c>
      <c r="E5" s="9" t="s">
        <v>46</v>
      </c>
      <c r="F5" s="9" t="s">
        <v>21</v>
      </c>
      <c r="G5" s="9" t="s">
        <v>22</v>
      </c>
      <c r="H5" s="9"/>
      <c r="I5" s="9"/>
      <c r="J5" s="9"/>
      <c r="K5" s="10" t="s">
        <v>14</v>
      </c>
      <c r="L5" s="10" t="s">
        <v>15</v>
      </c>
      <c r="M5" s="10"/>
      <c r="N5" s="10" t="s">
        <v>151</v>
      </c>
      <c r="O5" s="10"/>
      <c r="P5" s="10"/>
      <c r="Q5" s="9" t="s">
        <v>47</v>
      </c>
      <c r="R5" s="9">
        <v>0.49399999999999999</v>
      </c>
      <c r="S5" s="9">
        <v>0.79720000000000002</v>
      </c>
    </row>
    <row r="6" spans="2:19" x14ac:dyDescent="0.3">
      <c r="B6" s="10" t="s">
        <v>44</v>
      </c>
      <c r="C6" s="11">
        <v>14</v>
      </c>
      <c r="D6" s="11">
        <v>0</v>
      </c>
      <c r="E6" s="11" t="s">
        <v>20</v>
      </c>
      <c r="F6" s="11" t="s">
        <v>21</v>
      </c>
      <c r="G6" s="11" t="s">
        <v>22</v>
      </c>
      <c r="H6" s="11"/>
      <c r="I6" s="11"/>
      <c r="J6" s="11"/>
      <c r="K6" s="10" t="s">
        <v>14</v>
      </c>
      <c r="L6" s="10" t="s">
        <v>15</v>
      </c>
      <c r="M6" s="10" t="s">
        <v>16</v>
      </c>
      <c r="N6" s="10" t="s">
        <v>32</v>
      </c>
      <c r="O6" s="10"/>
      <c r="P6" s="10"/>
      <c r="Q6" s="11" t="s">
        <v>25</v>
      </c>
      <c r="R6" s="11">
        <v>0.74199999999999999</v>
      </c>
      <c r="S6" s="11">
        <v>1.2119</v>
      </c>
    </row>
    <row r="7" spans="2:19" x14ac:dyDescent="0.3">
      <c r="B7" s="8" t="s">
        <v>1</v>
      </c>
      <c r="C7" s="9">
        <v>21</v>
      </c>
      <c r="D7" s="9">
        <v>10</v>
      </c>
      <c r="E7" s="9" t="s">
        <v>20</v>
      </c>
      <c r="F7" s="9" t="s">
        <v>21</v>
      </c>
      <c r="G7" s="9" t="s">
        <v>22</v>
      </c>
      <c r="H7" s="9"/>
      <c r="I7" s="9"/>
      <c r="J7" s="9"/>
      <c r="K7" s="10" t="s">
        <v>14</v>
      </c>
      <c r="L7" s="10" t="s">
        <v>15</v>
      </c>
      <c r="M7" s="10" t="s">
        <v>16</v>
      </c>
      <c r="N7" s="10" t="s">
        <v>32</v>
      </c>
      <c r="O7" s="10" t="s">
        <v>33</v>
      </c>
      <c r="P7" s="10"/>
      <c r="Q7" s="9" t="s">
        <v>31</v>
      </c>
      <c r="R7" s="9">
        <v>5.3490000000000002</v>
      </c>
      <c r="S7" s="9">
        <v>2.3105000000000002</v>
      </c>
    </row>
    <row r="8" spans="2:19" x14ac:dyDescent="0.3">
      <c r="B8" s="10" t="s">
        <v>3</v>
      </c>
      <c r="C8" s="11">
        <v>25</v>
      </c>
      <c r="D8" s="11">
        <v>14</v>
      </c>
      <c r="E8" s="11" t="s">
        <v>20</v>
      </c>
      <c r="F8" s="11" t="s">
        <v>21</v>
      </c>
      <c r="G8" s="11" t="s">
        <v>22</v>
      </c>
      <c r="H8" s="11" t="s">
        <v>144</v>
      </c>
      <c r="I8" s="11"/>
      <c r="J8" s="11" t="s">
        <v>139</v>
      </c>
      <c r="K8" s="10" t="s">
        <v>14</v>
      </c>
      <c r="L8" s="10" t="s">
        <v>15</v>
      </c>
      <c r="M8" s="10" t="s">
        <v>16</v>
      </c>
      <c r="N8" s="10" t="s">
        <v>32</v>
      </c>
      <c r="O8" s="10" t="s">
        <v>33</v>
      </c>
      <c r="P8" s="10"/>
      <c r="Q8" s="11" t="s">
        <v>145</v>
      </c>
      <c r="R8" s="11">
        <v>4.8230000000000004</v>
      </c>
      <c r="S8" s="11">
        <v>2.8746</v>
      </c>
    </row>
    <row r="9" spans="2:19" x14ac:dyDescent="0.3">
      <c r="B9" s="8" t="s">
        <v>152</v>
      </c>
      <c r="C9" s="9">
        <v>28</v>
      </c>
      <c r="D9" s="9">
        <v>18</v>
      </c>
      <c r="E9" s="9" t="s">
        <v>20</v>
      </c>
      <c r="F9" s="9" t="s">
        <v>21</v>
      </c>
      <c r="G9" s="9" t="s">
        <v>22</v>
      </c>
      <c r="H9" s="9" t="s">
        <v>144</v>
      </c>
      <c r="I9" s="9" t="s">
        <v>38</v>
      </c>
      <c r="J9" s="9" t="s">
        <v>146</v>
      </c>
      <c r="K9" s="10" t="s">
        <v>14</v>
      </c>
      <c r="L9" s="10" t="s">
        <v>15</v>
      </c>
      <c r="M9" s="10" t="s">
        <v>16</v>
      </c>
      <c r="N9" s="10" t="s">
        <v>32</v>
      </c>
      <c r="O9" s="10" t="s">
        <v>33</v>
      </c>
      <c r="P9" s="10" t="s">
        <v>37</v>
      </c>
      <c r="Q9" s="9" t="s">
        <v>147</v>
      </c>
      <c r="R9" s="9">
        <v>6.8550000000000004</v>
      </c>
      <c r="S9" s="9">
        <v>3.3746999999999998</v>
      </c>
    </row>
  </sheetData>
  <sheetProtection algorithmName="SHA-512" hashValue="I/5/wK2cyPG2kJDk4tTjRmk7YAmaQ9qjIYuYvIOiuLbtS7DTNau1uLYsIv92D8Oa/u9JDSlK8tptER426pA6qw==" saltValue="TwiMB3y0h7cn+bqS8FE8jQ==" spinCount="100000" sheet="1" objects="1" scenarios="1"/>
  <phoneticPr fontId="3" type="noConversion"/>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C7F3-BE6A-4422-95EF-F7A009051DF0}">
  <sheetPr>
    <tabColor theme="0" tint="-0.499984740745262"/>
  </sheetPr>
  <dimension ref="A2:AV22"/>
  <sheetViews>
    <sheetView workbookViewId="0">
      <selection activeCell="G15" sqref="G15"/>
    </sheetView>
  </sheetViews>
  <sheetFormatPr baseColWidth="10" defaultColWidth="11.36328125" defaultRowHeight="14.5" x14ac:dyDescent="0.35"/>
  <cols>
    <col min="1" max="1" width="2.36328125" style="15" customWidth="1"/>
    <col min="2" max="2" width="18.6328125" style="15" customWidth="1"/>
    <col min="3" max="3" width="16" style="15" customWidth="1"/>
    <col min="4" max="4" width="17.36328125" style="41" customWidth="1"/>
    <col min="5" max="5" width="12.6328125" style="15" customWidth="1"/>
    <col min="6" max="6" width="14" style="15" bestFit="1" customWidth="1"/>
    <col min="7" max="7" width="11.36328125" style="15"/>
    <col min="8" max="8" width="13" style="15" bestFit="1" customWidth="1"/>
    <col min="9" max="9" width="15.54296875" style="15" bestFit="1" customWidth="1"/>
    <col min="10" max="10" width="15.54296875" style="15" customWidth="1"/>
    <col min="11" max="11" width="12.6328125" style="15" bestFit="1" customWidth="1"/>
    <col min="12" max="12" width="3.36328125" style="15" customWidth="1"/>
    <col min="13" max="16384" width="11.36328125" style="15"/>
  </cols>
  <sheetData>
    <row r="2" spans="2:11" x14ac:dyDescent="0.35">
      <c r="B2" s="17" t="s">
        <v>115</v>
      </c>
      <c r="D2" s="101">
        <f>FZ_2020</f>
        <v>33000</v>
      </c>
      <c r="E2" s="102"/>
    </row>
    <row r="4" spans="2:11" x14ac:dyDescent="0.35">
      <c r="B4" s="103" t="s">
        <v>48</v>
      </c>
      <c r="C4" s="104" t="s">
        <v>49</v>
      </c>
      <c r="D4" s="105" t="s">
        <v>112</v>
      </c>
      <c r="E4" s="103" t="s">
        <v>111</v>
      </c>
      <c r="F4" s="102"/>
    </row>
    <row r="5" spans="2:11" x14ac:dyDescent="0.35">
      <c r="B5" s="106" t="s">
        <v>116</v>
      </c>
      <c r="C5" s="107">
        <f>ROUND(D5*$D$2,0)</f>
        <v>3078</v>
      </c>
      <c r="D5" s="232">
        <v>9.3271968743791803E-2</v>
      </c>
      <c r="E5" s="76"/>
    </row>
    <row r="6" spans="2:11" x14ac:dyDescent="0.35">
      <c r="B6" s="106" t="s">
        <v>117</v>
      </c>
      <c r="C6" s="108">
        <f t="shared" ref="C6:C16" si="0">ROUND(D6*$D$2,0)</f>
        <v>2748</v>
      </c>
      <c r="D6" s="233">
        <v>8.3272630951592611E-2</v>
      </c>
      <c r="E6" s="76"/>
      <c r="H6" s="144"/>
      <c r="I6" s="144"/>
      <c r="J6" s="144"/>
      <c r="K6" s="144"/>
    </row>
    <row r="7" spans="2:11" x14ac:dyDescent="0.35">
      <c r="B7" s="106" t="s">
        <v>118</v>
      </c>
      <c r="C7" s="108">
        <f t="shared" si="0"/>
        <v>2883</v>
      </c>
      <c r="D7" s="233">
        <v>8.7378319316601546E-2</v>
      </c>
      <c r="E7" s="109">
        <f>SUM(C5:C7)</f>
        <v>8709</v>
      </c>
      <c r="F7" s="153"/>
      <c r="I7" s="183"/>
      <c r="J7" s="183"/>
      <c r="K7" s="182"/>
    </row>
    <row r="8" spans="2:11" x14ac:dyDescent="0.35">
      <c r="B8" s="106" t="s">
        <v>119</v>
      </c>
      <c r="C8" s="108">
        <f t="shared" si="0"/>
        <v>2782</v>
      </c>
      <c r="D8" s="233">
        <v>8.4299053042844851E-2</v>
      </c>
      <c r="E8" s="110"/>
      <c r="F8" s="153"/>
      <c r="I8" s="183"/>
      <c r="J8" s="183"/>
    </row>
    <row r="9" spans="2:11" x14ac:dyDescent="0.35">
      <c r="B9" s="106" t="s">
        <v>120</v>
      </c>
      <c r="C9" s="108">
        <f t="shared" si="0"/>
        <v>2982</v>
      </c>
      <c r="D9" s="233">
        <v>9.0358254420237066E-2</v>
      </c>
      <c r="E9" s="110"/>
      <c r="F9" s="153"/>
      <c r="I9" s="183"/>
      <c r="J9" s="183"/>
    </row>
    <row r="10" spans="2:11" x14ac:dyDescent="0.35">
      <c r="B10" s="106" t="s">
        <v>121</v>
      </c>
      <c r="C10" s="108">
        <f t="shared" si="0"/>
        <v>2717</v>
      </c>
      <c r="D10" s="233">
        <v>8.2345540030461559E-2</v>
      </c>
      <c r="E10" s="109">
        <f>SUM(C8:C10)</f>
        <v>8481</v>
      </c>
      <c r="F10" s="153"/>
      <c r="I10" s="183"/>
      <c r="J10" s="183"/>
      <c r="K10" s="182"/>
    </row>
    <row r="11" spans="2:11" x14ac:dyDescent="0.35">
      <c r="B11" s="106" t="s">
        <v>122</v>
      </c>
      <c r="C11" s="108">
        <f t="shared" si="0"/>
        <v>2666</v>
      </c>
      <c r="D11" s="233">
        <v>8.0789351698563008E-2</v>
      </c>
      <c r="E11" s="110"/>
      <c r="F11" s="153"/>
      <c r="I11" s="183"/>
      <c r="J11" s="183"/>
    </row>
    <row r="12" spans="2:11" x14ac:dyDescent="0.35">
      <c r="B12" s="106" t="s">
        <v>123</v>
      </c>
      <c r="C12" s="108">
        <f t="shared" si="0"/>
        <v>2569</v>
      </c>
      <c r="D12" s="233">
        <v>7.784252698496788E-2</v>
      </c>
      <c r="E12" s="110"/>
      <c r="F12" s="153"/>
      <c r="I12" s="183"/>
      <c r="J12" s="183"/>
    </row>
    <row r="13" spans="2:11" x14ac:dyDescent="0.35">
      <c r="B13" s="106" t="s">
        <v>124</v>
      </c>
      <c r="C13" s="108">
        <f t="shared" si="0"/>
        <v>2496</v>
      </c>
      <c r="D13" s="233">
        <v>7.562413085226144E-2</v>
      </c>
      <c r="E13" s="109">
        <f>SUM(C11:C13)</f>
        <v>7731</v>
      </c>
      <c r="F13" s="153"/>
      <c r="I13" s="183"/>
      <c r="J13" s="183"/>
      <c r="K13" s="182"/>
    </row>
    <row r="14" spans="2:11" x14ac:dyDescent="0.35">
      <c r="B14" s="106" t="s">
        <v>125</v>
      </c>
      <c r="C14" s="108">
        <f t="shared" si="0"/>
        <v>2855</v>
      </c>
      <c r="D14" s="233">
        <v>8.6517449175551292E-2</v>
      </c>
      <c r="E14" s="110"/>
      <c r="F14" s="153"/>
      <c r="I14" s="183"/>
      <c r="J14" s="183"/>
    </row>
    <row r="15" spans="2:11" x14ac:dyDescent="0.35">
      <c r="B15" s="106" t="s">
        <v>126</v>
      </c>
      <c r="C15" s="108">
        <f t="shared" si="0"/>
        <v>2802</v>
      </c>
      <c r="D15" s="233">
        <v>8.4895040063571944E-2</v>
      </c>
      <c r="E15" s="110"/>
      <c r="F15" s="153"/>
      <c r="I15" s="183"/>
      <c r="J15" s="183"/>
    </row>
    <row r="16" spans="2:11" x14ac:dyDescent="0.35">
      <c r="B16" s="106" t="s">
        <v>127</v>
      </c>
      <c r="C16" s="111">
        <f t="shared" si="0"/>
        <v>2422</v>
      </c>
      <c r="D16" s="233">
        <v>7.3405734719554999E-2</v>
      </c>
      <c r="E16" s="109">
        <f>SUM(C14:C16)</f>
        <v>8079</v>
      </c>
      <c r="F16" s="153"/>
      <c r="I16" s="183"/>
      <c r="J16" s="183"/>
      <c r="K16" s="182"/>
    </row>
    <row r="17" spans="1:48" s="115" customFormat="1" x14ac:dyDescent="0.35">
      <c r="A17" s="15"/>
      <c r="B17" s="112" t="s">
        <v>76</v>
      </c>
      <c r="C17" s="113">
        <f>SUM(C5:C16)</f>
        <v>33000</v>
      </c>
      <c r="D17" s="114">
        <f>SUM(D5:D16)</f>
        <v>1</v>
      </c>
      <c r="E17" s="76"/>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row>
    <row r="18" spans="1:48" s="115" customFormat="1" x14ac:dyDescent="0.35">
      <c r="A18" s="15"/>
      <c r="B18" s="116" t="s">
        <v>77</v>
      </c>
      <c r="C18" s="304" t="str">
        <f>IF(D17=100%,"O.K.","Summe muss 100% sein")</f>
        <v>O.K.</v>
      </c>
      <c r="D18" s="304"/>
      <c r="E18" s="110"/>
      <c r="F18" s="153"/>
      <c r="G18" s="144"/>
      <c r="H18" s="144"/>
      <c r="I18" s="185"/>
      <c r="J18" s="185"/>
      <c r="K18" s="186"/>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row>
    <row r="19" spans="1:48" x14ac:dyDescent="0.35">
      <c r="B19" s="76"/>
      <c r="C19" s="76"/>
      <c r="D19" s="117"/>
      <c r="E19" s="76"/>
    </row>
    <row r="20" spans="1:48" x14ac:dyDescent="0.35">
      <c r="B20" s="76"/>
      <c r="C20" s="76"/>
      <c r="D20" s="42" t="s">
        <v>81</v>
      </c>
      <c r="E20" s="76"/>
      <c r="H20" s="184"/>
      <c r="I20" s="153"/>
      <c r="J20" s="153"/>
    </row>
    <row r="21" spans="1:48" x14ac:dyDescent="0.35">
      <c r="B21" s="76"/>
      <c r="C21" s="76"/>
      <c r="D21" s="117"/>
      <c r="E21" s="76"/>
    </row>
    <row r="22" spans="1:48" x14ac:dyDescent="0.35">
      <c r="B22" s="76"/>
      <c r="C22" s="76"/>
      <c r="D22" s="117"/>
      <c r="E22" s="76"/>
    </row>
  </sheetData>
  <sheetProtection algorithmName="SHA-512" hashValue="417mJYEcxJ3hZhstT4B32Qc8v6LOwtpT17CUHaFMeP01aEqt5UFMFzM/rd7QjHxkvwe/qYSxpii1Wf0S8AViJg==" saltValue="RjY90prrFgvBx0fs89sX9A==" spinCount="100000" sheet="1" objects="1" scenarios="1"/>
  <mergeCells count="1">
    <mergeCell ref="C18:D18"/>
  </mergeCells>
  <phoneticPr fontId="3" type="noConversion"/>
  <conditionalFormatting sqref="C18">
    <cfRule type="cellIs" dxfId="1" priority="1" operator="equal">
      <formula>"Summe muss 100% sein"</formula>
    </cfRule>
    <cfRule type="cellIs" dxfId="0" priority="2" operator="equal">
      <formula>"O.K."</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735F9-3F20-4FDF-93A5-30830B6EE9AD}">
  <sheetPr>
    <tabColor theme="7"/>
  </sheetPr>
  <dimension ref="A2:B18"/>
  <sheetViews>
    <sheetView workbookViewId="0">
      <selection activeCell="B3" sqref="B3"/>
    </sheetView>
  </sheetViews>
  <sheetFormatPr baseColWidth="10" defaultColWidth="11.36328125" defaultRowHeight="14.5" x14ac:dyDescent="0.35"/>
  <cols>
    <col min="1" max="1" width="22.08984375" bestFit="1" customWidth="1"/>
    <col min="2" max="2" width="19.08984375" customWidth="1"/>
  </cols>
  <sheetData>
    <row r="2" spans="1:2" x14ac:dyDescent="0.35">
      <c r="A2" s="7" t="s">
        <v>187</v>
      </c>
      <c r="B2" s="7" t="s">
        <v>188</v>
      </c>
    </row>
    <row r="3" spans="1:2" x14ac:dyDescent="0.35">
      <c r="A3" t="s">
        <v>189</v>
      </c>
      <c r="B3" s="1">
        <v>3672.4</v>
      </c>
    </row>
    <row r="4" spans="1:2" x14ac:dyDescent="0.35">
      <c r="A4" t="s">
        <v>190</v>
      </c>
      <c r="B4" s="1">
        <v>3660.92</v>
      </c>
    </row>
    <row r="5" spans="1:2" x14ac:dyDescent="0.35">
      <c r="A5" t="s">
        <v>191</v>
      </c>
      <c r="B5" s="1">
        <v>3670.45</v>
      </c>
    </row>
    <row r="6" spans="1:2" x14ac:dyDescent="0.35">
      <c r="A6" t="s">
        <v>192</v>
      </c>
      <c r="B6" s="1">
        <v>3662.36</v>
      </c>
    </row>
    <row r="7" spans="1:2" x14ac:dyDescent="0.35">
      <c r="A7" t="s">
        <v>193</v>
      </c>
      <c r="B7" s="1">
        <v>3674.63</v>
      </c>
    </row>
    <row r="8" spans="1:2" x14ac:dyDescent="0.35">
      <c r="A8" t="s">
        <v>194</v>
      </c>
      <c r="B8" s="1">
        <v>3667.25</v>
      </c>
    </row>
    <row r="9" spans="1:2" x14ac:dyDescent="0.35">
      <c r="A9" t="s">
        <v>195</v>
      </c>
      <c r="B9" s="1">
        <v>3664.56</v>
      </c>
    </row>
    <row r="10" spans="1:2" x14ac:dyDescent="0.35">
      <c r="A10" t="s">
        <v>196</v>
      </c>
      <c r="B10" s="1">
        <v>3666.23</v>
      </c>
    </row>
    <row r="11" spans="1:2" x14ac:dyDescent="0.35">
      <c r="A11" t="s">
        <v>197</v>
      </c>
      <c r="B11" s="1">
        <v>3662.97</v>
      </c>
    </row>
    <row r="12" spans="1:2" x14ac:dyDescent="0.35">
      <c r="A12" t="s">
        <v>198</v>
      </c>
      <c r="B12" s="1">
        <v>3664.45</v>
      </c>
    </row>
    <row r="13" spans="1:2" x14ac:dyDescent="0.35">
      <c r="A13" t="s">
        <v>199</v>
      </c>
      <c r="B13" s="1">
        <v>3786</v>
      </c>
    </row>
    <row r="14" spans="1:2" x14ac:dyDescent="0.35">
      <c r="A14" t="s">
        <v>200</v>
      </c>
      <c r="B14" s="1">
        <v>3695.8</v>
      </c>
    </row>
    <row r="15" spans="1:2" x14ac:dyDescent="0.35">
      <c r="A15" t="s">
        <v>201</v>
      </c>
      <c r="B15" s="1">
        <v>3663.09</v>
      </c>
    </row>
    <row r="16" spans="1:2" x14ac:dyDescent="0.35">
      <c r="A16" t="s">
        <v>202</v>
      </c>
      <c r="B16" s="1">
        <v>3663.13</v>
      </c>
    </row>
    <row r="17" spans="1:2" x14ac:dyDescent="0.35">
      <c r="A17" t="s">
        <v>203</v>
      </c>
      <c r="B17" s="1">
        <v>3662.73</v>
      </c>
    </row>
    <row r="18" spans="1:2" x14ac:dyDescent="0.35">
      <c r="A18" t="s">
        <v>204</v>
      </c>
      <c r="B18" s="1">
        <v>3663.17</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34</vt:i4>
      </vt:variant>
    </vt:vector>
  </HeadingPairs>
  <TitlesOfParts>
    <vt:vector size="42" baseType="lpstr">
      <vt:lpstr>Deckblatt</vt:lpstr>
      <vt:lpstr>Erläuterungen zum Tool</vt:lpstr>
      <vt:lpstr>Erlöseffekte</vt:lpstr>
      <vt:lpstr>Basisdaten und PLAN 2020</vt:lpstr>
      <vt:lpstr>COVID-19 Fälle und DRG</vt:lpstr>
      <vt:lpstr>ICD_OPS</vt:lpstr>
      <vt:lpstr>Jahresfallverteilung</vt:lpstr>
      <vt:lpstr>LBFW</vt:lpstr>
      <vt:lpstr>AUS_BET</vt:lpstr>
      <vt:lpstr>AUS_BET_Tage</vt:lpstr>
      <vt:lpstr>AUSL_P2020</vt:lpstr>
      <vt:lpstr>Betten_P2020</vt:lpstr>
      <vt:lpstr>BFW_2020</vt:lpstr>
      <vt:lpstr>CMI_COVID</vt:lpstr>
      <vt:lpstr>CMI_P2020</vt:lpstr>
      <vt:lpstr>DRG_COVID</vt:lpstr>
      <vt:lpstr>ERL_COVID</vt:lpstr>
      <vt:lpstr>F_COVID</vt:lpstr>
      <vt:lpstr>F_Kap_COVID</vt:lpstr>
      <vt:lpstr>FZ_2020</vt:lpstr>
      <vt:lpstr>FZ_Q1</vt:lpstr>
      <vt:lpstr>FZ_Q2</vt:lpstr>
      <vt:lpstr>FZ_Q3</vt:lpstr>
      <vt:lpstr>FZ_Q4</vt:lpstr>
      <vt:lpstr>MVD_2020</vt:lpstr>
      <vt:lpstr>PE_COVID</vt:lpstr>
      <vt:lpstr>PEW_NEU</vt:lpstr>
      <vt:lpstr>PEW_P2020</vt:lpstr>
      <vt:lpstr>PMId_COVID</vt:lpstr>
      <vt:lpstr>PMId_P2020</vt:lpstr>
      <vt:lpstr>PSA</vt:lpstr>
      <vt:lpstr>PSA_COV</vt:lpstr>
      <vt:lpstr>Q1_Tage</vt:lpstr>
      <vt:lpstr>Q2_Tage</vt:lpstr>
      <vt:lpstr>Q3_Tage</vt:lpstr>
      <vt:lpstr>Q4_Tage</vt:lpstr>
      <vt:lpstr>T_COVID</vt:lpstr>
      <vt:lpstr>Tage_2020</vt:lpstr>
      <vt:lpstr>Tage_maerz</vt:lpstr>
      <vt:lpstr>Tage_VOR</vt:lpstr>
      <vt:lpstr>ZE_COVID</vt:lpstr>
      <vt:lpstr>ZE_P2020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Wilke</dc:creator>
  <cp:lastModifiedBy>Celine</cp:lastModifiedBy>
  <dcterms:created xsi:type="dcterms:W3CDTF">2020-04-05T11:09:09Z</dcterms:created>
  <dcterms:modified xsi:type="dcterms:W3CDTF">2020-07-03T17:03:13Z</dcterms:modified>
</cp:coreProperties>
</file>